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8445" activeTab="1"/>
  </bookViews>
  <sheets>
    <sheet name="General" sheetId="1" r:id="rId1"/>
    <sheet name="Per Year" sheetId="2" r:id="rId2"/>
  </sheets>
  <calcPr calcId="145621"/>
</workbook>
</file>

<file path=xl/calcChain.xml><?xml version="1.0" encoding="utf-8"?>
<calcChain xmlns="http://schemas.openxmlformats.org/spreadsheetml/2006/main">
  <c r="X9" i="2" l="1"/>
  <c r="F12" i="2"/>
  <c r="G12" i="2" s="1"/>
  <c r="F13" i="2"/>
  <c r="G13" i="2" s="1"/>
  <c r="M12" i="2"/>
  <c r="M13" i="2"/>
  <c r="W12" i="2"/>
  <c r="W13" i="2"/>
  <c r="X12" i="2"/>
  <c r="X13" i="2"/>
  <c r="W3" i="2"/>
  <c r="X3" i="2"/>
  <c r="F11" i="2"/>
  <c r="G11" i="2" s="1"/>
  <c r="M11" i="2"/>
  <c r="W11" i="2"/>
  <c r="X11" i="2"/>
  <c r="F10" i="2"/>
  <c r="G10" i="2" s="1"/>
  <c r="M10" i="2"/>
  <c r="W10" i="2"/>
  <c r="X10" i="2"/>
  <c r="F9" i="2"/>
  <c r="G9" i="2" s="1"/>
  <c r="M9" i="2"/>
  <c r="W9" i="2"/>
  <c r="N11" i="2" l="1"/>
  <c r="O11" i="2" s="1"/>
  <c r="Q11" i="2" s="1"/>
  <c r="N10" i="2"/>
  <c r="O10" i="2" s="1"/>
  <c r="Q10" i="2" s="1"/>
  <c r="N9" i="2"/>
  <c r="O9" i="2" s="1"/>
  <c r="Q9" i="2" s="1"/>
  <c r="N16" i="2"/>
  <c r="N15" i="2"/>
  <c r="P11" i="2" l="1"/>
  <c r="P10" i="2"/>
  <c r="P9" i="2"/>
  <c r="H5" i="2"/>
  <c r="X4" i="2" l="1"/>
  <c r="F4" i="2"/>
  <c r="G4" i="2" s="1"/>
  <c r="M4" i="2"/>
  <c r="W4" i="2"/>
  <c r="N4" i="2" l="1"/>
  <c r="O4" i="2" s="1"/>
  <c r="Q4" i="2" s="1"/>
  <c r="P4" i="2" l="1"/>
  <c r="X5" i="2" l="1"/>
  <c r="X6" i="2"/>
  <c r="X7" i="2"/>
  <c r="X8" i="2"/>
  <c r="W5" i="2"/>
  <c r="W6" i="2"/>
  <c r="W7" i="2"/>
  <c r="W8" i="2"/>
  <c r="M8" i="2" l="1"/>
  <c r="M7" i="2"/>
  <c r="M6" i="2"/>
  <c r="M5" i="2"/>
  <c r="M3" i="2"/>
  <c r="F3" i="2" l="1"/>
  <c r="F5" i="2"/>
  <c r="F6" i="2"/>
  <c r="F7" i="2"/>
  <c r="F8" i="2"/>
  <c r="G6" i="2" l="1"/>
  <c r="N6" i="2"/>
  <c r="O6" i="2" s="1"/>
  <c r="Q6" i="2" s="1"/>
  <c r="G3" i="2"/>
  <c r="N3" i="2"/>
  <c r="O3" i="2" s="1"/>
  <c r="Q3" i="2" s="1"/>
  <c r="G7" i="2"/>
  <c r="N7" i="2"/>
  <c r="O7" i="2" s="1"/>
  <c r="Q7" i="2" s="1"/>
  <c r="G5" i="2"/>
  <c r="N5" i="2"/>
  <c r="O5" i="2" s="1"/>
  <c r="Q5" i="2" s="1"/>
  <c r="G8" i="2"/>
  <c r="N8" i="2"/>
  <c r="O8" i="2" s="1"/>
  <c r="Q8" i="2" s="1"/>
  <c r="H26" i="1"/>
  <c r="H11" i="1"/>
  <c r="H8" i="1"/>
  <c r="H7" i="1"/>
  <c r="J24" i="1"/>
  <c r="K24" i="1"/>
  <c r="J26" i="1"/>
  <c r="K26" i="1"/>
  <c r="K11" i="1"/>
  <c r="J8" i="1"/>
  <c r="J2" i="1"/>
  <c r="J3" i="1"/>
  <c r="J4" i="1"/>
  <c r="J5" i="1"/>
  <c r="J7" i="1"/>
  <c r="K7" i="1"/>
  <c r="K2" i="1"/>
  <c r="K3" i="1"/>
  <c r="K4" i="1"/>
  <c r="K5" i="1"/>
  <c r="K8" i="1"/>
  <c r="P6" i="2" l="1"/>
  <c r="P3" i="2"/>
  <c r="P7" i="2"/>
  <c r="P8" i="2"/>
  <c r="P5" i="2"/>
  <c r="E29" i="1"/>
  <c r="L29" i="1"/>
  <c r="E13" i="1"/>
  <c r="L13" i="1"/>
  <c r="E22" i="1"/>
  <c r="L22" i="1"/>
  <c r="E25" i="1"/>
  <c r="L25" i="1"/>
  <c r="N12" i="2" l="1"/>
  <c r="G22" i="1"/>
  <c r="F22" i="1"/>
  <c r="G25" i="1"/>
  <c r="F25" i="1"/>
  <c r="G13" i="1"/>
  <c r="F13" i="1"/>
  <c r="G29" i="1"/>
  <c r="F29" i="1"/>
  <c r="E28" i="1"/>
  <c r="E15" i="1"/>
  <c r="L15" i="1"/>
  <c r="E16" i="1"/>
  <c r="L16" i="1"/>
  <c r="N13" i="2" l="1"/>
  <c r="O13" i="2" s="1"/>
  <c r="O12" i="2"/>
  <c r="G28" i="1"/>
  <c r="F28" i="1"/>
  <c r="G16" i="1"/>
  <c r="F16" i="1"/>
  <c r="G15" i="1"/>
  <c r="F15" i="1"/>
  <c r="E2" i="1"/>
  <c r="E3" i="1"/>
  <c r="E4" i="1"/>
  <c r="E5" i="1"/>
  <c r="E6" i="1"/>
  <c r="E7" i="1"/>
  <c r="E8" i="1"/>
  <c r="E9" i="1"/>
  <c r="E10" i="1"/>
  <c r="E11" i="1"/>
  <c r="E12" i="1"/>
  <c r="E14" i="1"/>
  <c r="E17" i="1"/>
  <c r="E18" i="1"/>
  <c r="E19" i="1"/>
  <c r="E20" i="1"/>
  <c r="E21" i="1"/>
  <c r="E23" i="1"/>
  <c r="E24" i="1"/>
  <c r="E26" i="1"/>
  <c r="E27" i="1"/>
  <c r="L28" i="1"/>
  <c r="L27" i="1"/>
  <c r="L26" i="1"/>
  <c r="L24" i="1"/>
  <c r="L23" i="1"/>
  <c r="L21" i="1"/>
  <c r="L20" i="1"/>
  <c r="L19" i="1"/>
  <c r="L18" i="1"/>
  <c r="L17" i="1"/>
  <c r="L14" i="1"/>
  <c r="L12" i="1"/>
  <c r="L11" i="1"/>
  <c r="L10" i="1"/>
  <c r="L9" i="1"/>
  <c r="L8" i="1"/>
  <c r="L7" i="1"/>
  <c r="L6" i="1"/>
  <c r="L5" i="1"/>
  <c r="L4" i="1"/>
  <c r="L3" i="1"/>
  <c r="L2" i="1"/>
  <c r="Q12" i="2" l="1"/>
  <c r="P12" i="2"/>
  <c r="Q13" i="2"/>
  <c r="P13" i="2"/>
  <c r="G26" i="1"/>
  <c r="F26" i="1"/>
  <c r="G23" i="1"/>
  <c r="F23" i="1"/>
  <c r="G20" i="1"/>
  <c r="F20" i="1"/>
  <c r="G18" i="1"/>
  <c r="F18" i="1"/>
  <c r="G14" i="1"/>
  <c r="F14" i="1"/>
  <c r="G11" i="1"/>
  <c r="F11" i="1"/>
  <c r="G9" i="1"/>
  <c r="F9" i="1"/>
  <c r="G7" i="1"/>
  <c r="F7" i="1"/>
  <c r="G5" i="1"/>
  <c r="F5" i="1"/>
  <c r="G3" i="1"/>
  <c r="F3" i="1"/>
  <c r="G27" i="1"/>
  <c r="F27" i="1"/>
  <c r="G24" i="1"/>
  <c r="F24" i="1"/>
  <c r="G21" i="1"/>
  <c r="F21" i="1"/>
  <c r="G19" i="1"/>
  <c r="F19" i="1"/>
  <c r="G17" i="1"/>
  <c r="F17" i="1"/>
  <c r="G12" i="1"/>
  <c r="F12" i="1"/>
  <c r="G10" i="1"/>
  <c r="F10" i="1"/>
  <c r="G8" i="1"/>
  <c r="F8" i="1"/>
  <c r="G6" i="1"/>
  <c r="F6" i="1"/>
  <c r="G4" i="1"/>
  <c r="F4" i="1"/>
  <c r="G2" i="1"/>
  <c r="F2" i="1"/>
</calcChain>
</file>

<file path=xl/comments1.xml><?xml version="1.0" encoding="utf-8"?>
<comments xmlns="http://schemas.openxmlformats.org/spreadsheetml/2006/main">
  <authors>
    <author>Dev Nambi</author>
  </authors>
  <commentList>
    <comment ref="S26" authorId="0">
      <text>
        <r>
          <rPr>
            <b/>
            <sz val="9"/>
            <color indexed="81"/>
            <rFont val="Tahoma"/>
            <charset val="1"/>
          </rPr>
          <t>Dev Nambi:</t>
        </r>
        <r>
          <rPr>
            <sz val="9"/>
            <color indexed="81"/>
            <rFont val="Tahoma"/>
            <charset val="1"/>
          </rPr>
          <t xml:space="preserve">
Only with side airbags
</t>
        </r>
      </text>
    </comment>
    <comment ref="I28" authorId="0">
      <text>
        <r>
          <rPr>
            <b/>
            <sz val="8"/>
            <color indexed="81"/>
            <rFont val="Tahoma"/>
            <family val="2"/>
          </rPr>
          <t>Dev Nambi:</t>
        </r>
        <r>
          <rPr>
            <sz val="8"/>
            <color indexed="81"/>
            <rFont val="Tahoma"/>
            <family val="2"/>
          </rPr>
          <t xml:space="preserve">
This is false, but it helps keeps the color formatting correct</t>
        </r>
      </text>
    </comment>
  </commentList>
</comments>
</file>

<file path=xl/comments2.xml><?xml version="1.0" encoding="utf-8"?>
<comments xmlns="http://schemas.openxmlformats.org/spreadsheetml/2006/main">
  <authors>
    <author>Dev Nambi</author>
  </authors>
  <commentList>
    <comment ref="AI2" authorId="0">
      <text>
        <r>
          <rPr>
            <b/>
            <sz val="9"/>
            <color indexed="81"/>
            <rFont val="Tahoma"/>
            <charset val="1"/>
          </rPr>
          <t>Dev Nambi:</t>
        </r>
        <r>
          <rPr>
            <sz val="9"/>
            <color indexed="81"/>
            <rFont val="Tahoma"/>
            <charset val="1"/>
          </rPr>
          <t xml:space="preserve">
Physical damage that drivers cause to other people's vehicles/property in crashes when they're at fault</t>
        </r>
      </text>
    </comment>
    <comment ref="AJ2" authorId="0">
      <text>
        <r>
          <rPr>
            <b/>
            <sz val="9"/>
            <color indexed="81"/>
            <rFont val="Tahoma"/>
            <charset val="1"/>
          </rPr>
          <t>Dev Nambi:</t>
        </r>
        <r>
          <rPr>
            <sz val="9"/>
            <color indexed="81"/>
            <rFont val="Tahoma"/>
            <charset val="1"/>
          </rPr>
          <t xml:space="preserve">
Theft/physical damage to a car for reasons other than crashes</t>
        </r>
      </text>
    </comment>
    <comment ref="AK2" authorId="0">
      <text>
        <r>
          <rPr>
            <b/>
            <sz val="9"/>
            <color indexed="81"/>
            <rFont val="Tahoma"/>
            <charset val="1"/>
          </rPr>
          <t>Dev Nambi:</t>
        </r>
        <r>
          <rPr>
            <sz val="9"/>
            <color indexed="81"/>
            <rFont val="Tahoma"/>
            <charset val="1"/>
          </rPr>
          <t xml:space="preserve">
Pays for injuries regardless of who is at fault</t>
        </r>
      </text>
    </comment>
    <comment ref="AL2" authorId="0">
      <text>
        <r>
          <rPr>
            <b/>
            <sz val="9"/>
            <color indexed="81"/>
            <rFont val="Tahoma"/>
            <charset val="1"/>
          </rPr>
          <t>Dev Nambi:</t>
        </r>
        <r>
          <rPr>
            <sz val="9"/>
            <color indexed="81"/>
            <rFont val="Tahoma"/>
            <charset val="1"/>
          </rPr>
          <t xml:space="preserve">
Injuries to drivers and passengers in the vehicle being driven</t>
        </r>
      </text>
    </comment>
    <comment ref="AM2" authorId="0">
      <text>
        <r>
          <rPr>
            <b/>
            <sz val="9"/>
            <color indexed="81"/>
            <rFont val="Tahoma"/>
            <charset val="1"/>
          </rPr>
          <t>Dev Nambi:</t>
        </r>
        <r>
          <rPr>
            <sz val="9"/>
            <color indexed="81"/>
            <rFont val="Tahoma"/>
            <charset val="1"/>
          </rPr>
          <t xml:space="preserve">
Injury cost to others by at-fault drivers</t>
        </r>
      </text>
    </comment>
  </commentList>
</comments>
</file>

<file path=xl/sharedStrings.xml><?xml version="1.0" encoding="utf-8"?>
<sst xmlns="http://schemas.openxmlformats.org/spreadsheetml/2006/main" count="223" uniqueCount="120">
  <si>
    <t>Car</t>
  </si>
  <si>
    <t>Cars Mechanics Hate (CarTalk)</t>
  </si>
  <si>
    <t>Used Car Best Bets (Edmunds)</t>
  </si>
  <si>
    <t>Most Popular Used Cars (cars.com)</t>
  </si>
  <si>
    <t>Honda Civic</t>
  </si>
  <si>
    <t>Honda Accord</t>
  </si>
  <si>
    <t>Toyota Camry</t>
  </si>
  <si>
    <t>Toyota Prius</t>
  </si>
  <si>
    <t>Honda CR-V</t>
  </si>
  <si>
    <t>Honda Element</t>
  </si>
  <si>
    <t>Subaru Impreza</t>
  </si>
  <si>
    <t>Subaru Forester</t>
  </si>
  <si>
    <t>Nissan Altima</t>
  </si>
  <si>
    <t>2005 Price</t>
  </si>
  <si>
    <t>X</t>
  </si>
  <si>
    <t>Hyundai Elantra</t>
  </si>
  <si>
    <t>Most Dependable Cars (Cars.com)</t>
  </si>
  <si>
    <t>Car Resale Value</t>
  </si>
  <si>
    <t>X (EX)</t>
  </si>
  <si>
    <t>Honda Civic Hybrid</t>
  </si>
  <si>
    <t>X (Base)</t>
  </si>
  <si>
    <t>Scion xB</t>
  </si>
  <si>
    <t>X (Standard)</t>
  </si>
  <si>
    <t>X (2.5i)</t>
  </si>
  <si>
    <t>Mini Cooper</t>
  </si>
  <si>
    <t>Greenest Cars</t>
  </si>
  <si>
    <t>Honda Insight</t>
  </si>
  <si>
    <t>X (GX)</t>
  </si>
  <si>
    <t>Ford Fiesta</t>
  </si>
  <si>
    <t>X (SFE)</t>
  </si>
  <si>
    <t>Chevrolet Volt</t>
  </si>
  <si>
    <t>Honda Fit (2007 onwards)</t>
  </si>
  <si>
    <t>Ford Fusion (2006 onwards)</t>
  </si>
  <si>
    <t>Ford Fusion Hybrid (2010 onwards)</t>
  </si>
  <si>
    <t>Toyota Yaris (2007 onwards)</t>
  </si>
  <si>
    <t>Value-Packed Cars (Forbes)</t>
  </si>
  <si>
    <t>X (LX-P PZEV)</t>
  </si>
  <si>
    <t>X (LX)</t>
  </si>
  <si>
    <t>JD Power Dependability</t>
  </si>
  <si>
    <t>Z: 1995 Honda Civic LX</t>
  </si>
  <si>
    <t>Safety (IIHS)</t>
  </si>
  <si>
    <t>JD Power Quality</t>
  </si>
  <si>
    <t>Mileage (city)</t>
  </si>
  <si>
    <t>Mileage (hwy)</t>
  </si>
  <si>
    <t>Mileage (mix)</t>
  </si>
  <si>
    <t>Quality Score</t>
  </si>
  <si>
    <t>3-year fuel cost</t>
  </si>
  <si>
    <t>10-year fuel costs</t>
  </si>
  <si>
    <t>Hyundai Sonata</t>
  </si>
  <si>
    <t>Hyundai Elantra Touring</t>
  </si>
  <si>
    <t>Toyota Matrix</t>
  </si>
  <si>
    <t>Suzuki SX4</t>
  </si>
  <si>
    <t>Hyundai Accent</t>
  </si>
  <si>
    <t>Kia Rio</t>
  </si>
  <si>
    <t>Insurance per year</t>
  </si>
  <si>
    <t>2006-2007 Price</t>
  </si>
  <si>
    <t>2008-2009 Price</t>
  </si>
  <si>
    <t>Toyota Corolla</t>
  </si>
  <si>
    <t>Yes?</t>
  </si>
  <si>
    <t>Y</t>
  </si>
  <si>
    <t>Year</t>
  </si>
  <si>
    <t>Model</t>
  </si>
  <si>
    <t>Mpg (city)</t>
  </si>
  <si>
    <t>Mpg (hwy)</t>
  </si>
  <si>
    <t>Mpg (combo)</t>
  </si>
  <si>
    <t>Gas $ / yr</t>
  </si>
  <si>
    <t>Insurance / yr</t>
  </si>
  <si>
    <r>
      <t>Lb CO</t>
    </r>
    <r>
      <rPr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/ yr</t>
    </r>
  </si>
  <si>
    <t>Cost to offset CO2 / yr</t>
  </si>
  <si>
    <t>Est Price</t>
  </si>
  <si>
    <t>Turning radius (ft)</t>
  </si>
  <si>
    <t>Cargo (cu ft)</t>
  </si>
  <si>
    <t>Custom features</t>
  </si>
  <si>
    <t>Brakes</t>
  </si>
  <si>
    <t>disc/drum</t>
  </si>
  <si>
    <t>audio on wheel, 6 speakers</t>
  </si>
  <si>
    <t>5-year cost</t>
  </si>
  <si>
    <t>audio on wheel, tilt wheel, 6 speakers</t>
  </si>
  <si>
    <t>10-year cost</t>
  </si>
  <si>
    <t>Mileage</t>
  </si>
  <si>
    <t>Repairs / yr</t>
  </si>
  <si>
    <t>Handle</t>
  </si>
  <si>
    <t>Prius</t>
  </si>
  <si>
    <t>Fit</t>
  </si>
  <si>
    <t>Features</t>
  </si>
  <si>
    <t>NHTSA Ratings</t>
  </si>
  <si>
    <t>Passenger</t>
  </si>
  <si>
    <t>Driver</t>
  </si>
  <si>
    <t>Side Impact</t>
  </si>
  <si>
    <t>Side Impact Rear</t>
  </si>
  <si>
    <t>Rollover</t>
  </si>
  <si>
    <t>IIHS Ratings</t>
  </si>
  <si>
    <t>Front Offset</t>
  </si>
  <si>
    <t>Side Impact2</t>
  </si>
  <si>
    <t>Rear Crash</t>
  </si>
  <si>
    <t>NHTSA Safety</t>
  </si>
  <si>
    <t>IIHS Safety</t>
  </si>
  <si>
    <t>KBB CPO Price</t>
  </si>
  <si>
    <t>KBB Price</t>
  </si>
  <si>
    <t>Accident Info</t>
  </si>
  <si>
    <t>Collision</t>
  </si>
  <si>
    <t>Property damage</t>
  </si>
  <si>
    <t>Comprehensive</t>
  </si>
  <si>
    <t>PIP</t>
  </si>
  <si>
    <t>Medical</t>
  </si>
  <si>
    <t>Body injury liability</t>
  </si>
  <si>
    <t>Comprehensive/yr</t>
  </si>
  <si>
    <t>Civic</t>
  </si>
  <si>
    <t>2009 Fit Sport</t>
  </si>
  <si>
    <t>2010 Fit Sport</t>
  </si>
  <si>
    <t>2006 Prius</t>
  </si>
  <si>
    <t>2007 Prius</t>
  </si>
  <si>
    <t>2008 Prius</t>
  </si>
  <si>
    <t>2009 Prius</t>
  </si>
  <si>
    <t>2006 Civic</t>
  </si>
  <si>
    <t>2007 Civic</t>
  </si>
  <si>
    <t>2008 Civic</t>
  </si>
  <si>
    <t>2009 Civic</t>
  </si>
  <si>
    <t>2010 Civic</t>
  </si>
  <si>
    <t>HLDI Accident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</si>
</sst>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8" fillId="2" borderId="0" applyNumberFormat="0" applyBorder="0" applyAlignment="0" applyProtection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44" fontId="1" fillId="0" borderId="0" xfId="1" applyFont="1"/>
    <xf numFmtId="44" fontId="0" fillId="0" borderId="0" xfId="1" applyFont="1"/>
    <xf numFmtId="0" fontId="0" fillId="0" borderId="0" xfId="0" applyNumberFormat="1"/>
    <xf numFmtId="44" fontId="0" fillId="0" borderId="0" xfId="1" applyNumberFormat="1" applyFont="1"/>
    <xf numFmtId="44" fontId="5" fillId="0" borderId="0" xfId="1" applyNumberFormat="1" applyFont="1"/>
    <xf numFmtId="44" fontId="5" fillId="0" borderId="0" xfId="1" applyFont="1"/>
    <xf numFmtId="0" fontId="5" fillId="0" borderId="0" xfId="1" applyNumberFormat="1" applyFont="1"/>
    <xf numFmtId="0" fontId="0" fillId="0" borderId="0" xfId="0" applyBorder="1"/>
    <xf numFmtId="44" fontId="0" fillId="0" borderId="0" xfId="1" applyNumberFormat="1" applyFont="1" applyBorder="1"/>
    <xf numFmtId="44" fontId="0" fillId="0" borderId="0" xfId="1" applyFont="1" applyBorder="1"/>
    <xf numFmtId="0" fontId="0" fillId="0" borderId="0" xfId="1" applyNumberFormat="1" applyFont="1" applyBorder="1"/>
    <xf numFmtId="0" fontId="0" fillId="0" borderId="0" xfId="0" applyNumberFormat="1" applyFont="1" applyBorder="1"/>
    <xf numFmtId="0" fontId="0" fillId="0" borderId="1" xfId="0" applyBorder="1"/>
    <xf numFmtId="44" fontId="0" fillId="0" borderId="1" xfId="1" applyFont="1" applyBorder="1"/>
    <xf numFmtId="0" fontId="8" fillId="2" borderId="0" xfId="2"/>
    <xf numFmtId="164" fontId="0" fillId="0" borderId="0" xfId="1" applyNumberFormat="1" applyFont="1"/>
    <xf numFmtId="43" fontId="0" fillId="0" borderId="0" xfId="3" applyFont="1"/>
    <xf numFmtId="43" fontId="0" fillId="0" borderId="0" xfId="3" applyNumberFormat="1" applyFont="1"/>
    <xf numFmtId="164" fontId="5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  <xf numFmtId="0" fontId="0" fillId="0" borderId="1" xfId="0" applyFont="1" applyBorder="1"/>
  </cellXfs>
  <cellStyles count="4">
    <cellStyle name="Comma" xfId="3" builtinId="3"/>
    <cellStyle name="Currency" xfId="1" builtinId="4"/>
    <cellStyle name="Good" xfId="2" builtinId="26"/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V29" totalsRowShown="0" headerRowDxfId="29">
  <autoFilter ref="A1:V29">
    <filterColumn colId="4">
      <customFilters>
        <customFilter operator="greaterThan" val="27"/>
      </customFilters>
    </filterColumn>
    <filterColumn colId="11">
      <customFilters>
        <customFilter operator="greaterThanOrEqual" val="4"/>
      </customFilters>
    </filterColumn>
  </autoFilter>
  <sortState ref="A2:S29">
    <sortCondition ref="A1:A29"/>
  </sortState>
  <tableColumns count="22">
    <tableColumn id="1" name="Car"/>
    <tableColumn id="19" name="Yes?"/>
    <tableColumn id="16" name="Mileage (city)"/>
    <tableColumn id="2" name="Mileage (hwy)"/>
    <tableColumn id="15" name="Mileage (mix)" dataDxfId="28">
      <calculatedColumnFormula>Table1[[#This Row],[Mileage (city)]]*0.7+Table1[[#This Row],[Mileage (hwy)]]*0.3</calculatedColumnFormula>
    </tableColumn>
    <tableColumn id="18" name="3-year fuel cost" dataDxfId="27" dataCellStyle="Currency">
      <calculatedColumnFormula>600*12*3*4/Table1[[#This Row],[Mileage (mix)]]</calculatedColumnFormula>
    </tableColumn>
    <tableColumn id="12" name="10-year fuel costs" dataDxfId="26" dataCellStyle="Currency">
      <calculatedColumnFormula>600*12*10*4/Table1[[#This Row],[Mileage (mix)]]</calculatedColumnFormula>
    </tableColumn>
    <tableColumn id="20" name="Insurance per year"/>
    <tableColumn id="3" name="2005 Price" dataDxfId="25" dataCellStyle="Currency"/>
    <tableColumn id="21" name="2006-2007 Price" dataDxfId="24" dataCellStyle="Currency">
      <calculatedColumnFormula>(8513+8100)/2</calculatedColumnFormula>
    </tableColumn>
    <tableColumn id="22" name="2008-2009 Price" dataDxfId="23" dataCellStyle="Currency">
      <calculatedColumnFormula>(14617+16457)/2</calculatedColumnFormula>
    </tableColumn>
    <tableColumn id="17" name="Quality Score" dataDxfId="22" dataCellStyle="Currency">
      <calculatedColumnFormula>10-COUNTBLANK(Table1[[#This Row],[Cars Mechanics Hate (CarTalk)]:[JD Power Quality]])</calculatedColumnFormula>
    </tableColumn>
    <tableColumn id="4" name="Cars Mechanics Hate (CarTalk)"/>
    <tableColumn id="5" name="Used Car Best Bets (Edmunds)"/>
    <tableColumn id="6" name="Most Popular Used Cars (cars.com)"/>
    <tableColumn id="7" name="Most Dependable Cars (Cars.com)"/>
    <tableColumn id="8" name="Car Resale Value"/>
    <tableColumn id="9" name="Greenest Cars"/>
    <tableColumn id="13" name="Safety (IIHS)"/>
    <tableColumn id="10" name="Value-Packed Cars (Forbes)"/>
    <tableColumn id="11" name="JD Power Dependability"/>
    <tableColumn id="14" name="JD Power Quality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AM13" totalsRowShown="0">
  <autoFilter ref="A2:AM13"/>
  <sortState ref="A2:R24">
    <sortCondition ref="B1:B24"/>
  </sortState>
  <tableColumns count="39">
    <tableColumn id="2" name="Model"/>
    <tableColumn id="19" name="Handle"/>
    <tableColumn id="14" name="Year"/>
    <tableColumn id="3" name="Mpg (city)"/>
    <tableColumn id="4" name="Mpg (hwy)"/>
    <tableColumn id="5" name="Mpg (combo)" dataDxfId="21">
      <calculatedColumnFormula>Table2[[#This Row],[Mpg (city)]]*0.7+Table2[[#This Row],[Mpg (hwy)]]*0.3</calculatedColumnFormula>
    </tableColumn>
    <tableColumn id="6" name="Gas $ / yr" dataCellStyle="Currency">
      <calculatedColumnFormula>4*600*12/Table2[[#This Row],[Mpg (combo)]]</calculatedColumnFormula>
    </tableColumn>
    <tableColumn id="39" name="Comprehensive/yr" dataDxfId="20" dataCellStyle="Currency"/>
    <tableColumn id="7" name="Insurance / yr" dataDxfId="19" dataCellStyle="Currency"/>
    <tableColumn id="33" name="KBB CPO Price" dataDxfId="18" dataCellStyle="Currency"/>
    <tableColumn id="29" name="KBB Price" dataDxfId="17" dataCellStyle="Currency"/>
    <tableColumn id="8" name="Est Price" dataDxfId="16" dataCellStyle="Currency"/>
    <tableColumn id="1" name="Repairs / yr" dataDxfId="15" dataCellStyle="Currency">
      <calculatedColumnFormula>5573/5</calculatedColumnFormula>
    </tableColumn>
    <tableColumn id="9" name="Lb CO2 / yr" dataDxfId="14" dataCellStyle="Comma">
      <calculatedColumnFormula>600/Table2[[#This Row],[Mpg (combo)]]*19.564*12</calculatedColumnFormula>
    </tableColumn>
    <tableColumn id="10" name="Cost to offset CO2 / yr" dataCellStyle="Currency">
      <calculatedColumnFormula>Table2[[#This Row],[Lb CO2 / yr]]/2000*13</calculatedColumnFormula>
    </tableColumn>
    <tableColumn id="16" name="5-year cost" dataDxfId="13" dataCellStyle="Currency">
      <calculatedColumnFormula>Table2[[#This Row],[Est Price]]+Table2[[#This Row],[Comprehensive/yr]]*5+Table2[[#This Row],[Gas $ / yr]]*5+Table2[[#This Row],[Cost to offset CO2 / yr]]*5+Table2[[#This Row],[Repairs / yr]]*5</calculatedColumnFormula>
    </tableColumn>
    <tableColumn id="17" name="10-year cost" dataDxfId="12" dataCellStyle="Currency">
      <calculatedColumnFormula>Table2[[#This Row],[Est Price]]+Table2[[#This Row],[Comprehensive/yr]]*10+Table2[[#This Row],[Cost to offset CO2 / yr]]*10+Table2[[#This Row],[Repairs / yr]]*10+Table2[[#This Row],[Gas $ / yr]]*10</calculatedColumnFormula>
    </tableColumn>
    <tableColumn id="11" name="Cargo (cu ft)"/>
    <tableColumn id="12" name="Turning radius (ft)"/>
    <tableColumn id="15" name="Brakes"/>
    <tableColumn id="13" name="Custom features"/>
    <tableColumn id="20" name="Yes?"/>
    <tableColumn id="32" name="NHTSA Safety" dataDxfId="11">
      <calculatedColumnFormula>SUM(Table2[[#This Row],[Passenger]:[Rollover]])</calculatedColumnFormula>
    </tableColumn>
    <tableColumn id="31" name="IIHS Safety" dataDxfId="10">
      <calculatedColumnFormula>SUM(Table2[[#This Row],[Front Offset]:[Rear Crash]])</calculatedColumnFormula>
    </tableColumn>
    <tableColumn id="18" name="HLDI Accident" dataDxfId="9"/>
    <tableColumn id="22" name="Passenger"/>
    <tableColumn id="23" name="Driver"/>
    <tableColumn id="24" name="Side Impact"/>
    <tableColumn id="25" name="Side Impact Rear"/>
    <tableColumn id="26" name="Rollover"/>
    <tableColumn id="27" name="Front Offset"/>
    <tableColumn id="28" name="Side Impact2"/>
    <tableColumn id="30" name="Rear Crash"/>
    <tableColumn id="21" name="Collision"/>
    <tableColumn id="34" name="Property damage"/>
    <tableColumn id="35" name="Comprehensive"/>
    <tableColumn id="36" name="PIP"/>
    <tableColumn id="37" name="Medical"/>
    <tableColumn id="38" name="Body injury liability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9"/>
  <sheetViews>
    <sheetView zoomScaleNormal="100" workbookViewId="0">
      <pane xSplit="1" topLeftCell="B1" activePane="topRight" state="frozen"/>
      <selection pane="topRight" activeCell="E7" sqref="E7"/>
    </sheetView>
  </sheetViews>
  <sheetFormatPr defaultRowHeight="15" x14ac:dyDescent="0.25"/>
  <cols>
    <col min="1" max="1" width="18.5703125" customWidth="1"/>
    <col min="2" max="2" width="7.140625" customWidth="1"/>
    <col min="3" max="3" width="15.42578125" customWidth="1"/>
    <col min="4" max="4" width="17" customWidth="1"/>
    <col min="5" max="5" width="16.42578125" customWidth="1"/>
    <col min="6" max="8" width="16.42578125" style="3" customWidth="1"/>
    <col min="9" max="12" width="12.85546875" style="3" customWidth="1"/>
    <col min="13" max="14" width="30.28515625" bestFit="1" customWidth="1"/>
    <col min="15" max="15" width="34.5703125" bestFit="1" customWidth="1"/>
    <col min="16" max="16" width="33.85546875" bestFit="1" customWidth="1"/>
    <col min="17" max="17" width="15.42578125" customWidth="1"/>
    <col min="18" max="19" width="10.42578125" customWidth="1"/>
    <col min="20" max="20" width="19.28515625" customWidth="1"/>
    <col min="21" max="22" width="24.28515625" customWidth="1"/>
  </cols>
  <sheetData>
    <row r="1" spans="1:22" s="1" customFormat="1" x14ac:dyDescent="0.25">
      <c r="A1" s="1" t="s">
        <v>0</v>
      </c>
      <c r="B1" t="s">
        <v>58</v>
      </c>
      <c r="C1" s="1" t="s">
        <v>42</v>
      </c>
      <c r="D1" s="1" t="s">
        <v>43</v>
      </c>
      <c r="E1" s="1" t="s">
        <v>44</v>
      </c>
      <c r="F1" s="2" t="s">
        <v>46</v>
      </c>
      <c r="G1" s="2" t="s">
        <v>47</v>
      </c>
      <c r="H1" s="2" t="s">
        <v>54</v>
      </c>
      <c r="I1" s="2" t="s">
        <v>13</v>
      </c>
      <c r="J1" s="2" t="s">
        <v>55</v>
      </c>
      <c r="K1" s="2" t="s">
        <v>56</v>
      </c>
      <c r="L1" s="2" t="s">
        <v>45</v>
      </c>
      <c r="M1" s="1" t="s">
        <v>1</v>
      </c>
      <c r="N1" s="1" t="s">
        <v>2</v>
      </c>
      <c r="O1" s="1" t="s">
        <v>3</v>
      </c>
      <c r="P1" s="1" t="s">
        <v>16</v>
      </c>
      <c r="Q1" s="1" t="s">
        <v>17</v>
      </c>
      <c r="R1" s="1" t="s">
        <v>25</v>
      </c>
      <c r="S1" s="1" t="s">
        <v>40</v>
      </c>
      <c r="T1" s="1" t="s">
        <v>35</v>
      </c>
      <c r="U1" s="1" t="s">
        <v>38</v>
      </c>
      <c r="V1" s="1" t="s">
        <v>41</v>
      </c>
    </row>
    <row r="2" spans="1:22" hidden="1" x14ac:dyDescent="0.25">
      <c r="A2" t="s">
        <v>30</v>
      </c>
      <c r="C2">
        <v>93</v>
      </c>
      <c r="D2">
        <v>90</v>
      </c>
      <c r="E2">
        <f>Table1[[#This Row],[Mileage (city)]]*0.7+Table1[[#This Row],[Mileage (hwy)]]*0.3</f>
        <v>92.1</v>
      </c>
      <c r="F2" s="3">
        <f>600*12*3*4/Table1[[#This Row],[Mileage (mix)]]</f>
        <v>938.11074918566783</v>
      </c>
      <c r="G2" s="3">
        <f>600*12*10*4/Table1[[#This Row],[Mileage (mix)]]</f>
        <v>3127.0358306188928</v>
      </c>
      <c r="I2" s="3">
        <v>40280</v>
      </c>
      <c r="J2" s="3">
        <f t="shared" ref="J2:J7" si="0">(8513+8100)/2</f>
        <v>8306.5</v>
      </c>
      <c r="K2" s="3">
        <f t="shared" ref="K2:K8" si="1">(14617+16457)/2</f>
        <v>15537</v>
      </c>
      <c r="L2" s="4">
        <f>10-COUNTBLANK(Table1[[#This Row],[Cars Mechanics Hate (CarTalk)]:[JD Power Quality]])</f>
        <v>3</v>
      </c>
      <c r="R2" t="s">
        <v>14</v>
      </c>
      <c r="S2" t="s">
        <v>14</v>
      </c>
      <c r="V2" t="s">
        <v>14</v>
      </c>
    </row>
    <row r="3" spans="1:22" hidden="1" x14ac:dyDescent="0.25">
      <c r="A3" t="s">
        <v>28</v>
      </c>
      <c r="C3">
        <v>29</v>
      </c>
      <c r="D3">
        <v>38</v>
      </c>
      <c r="E3">
        <f>Table1[[#This Row],[Mileage (city)]]*0.7+Table1[[#This Row],[Mileage (hwy)]]*0.3</f>
        <v>31.699999999999996</v>
      </c>
      <c r="F3" s="3">
        <f>600*12*3*4/Table1[[#This Row],[Mileage (mix)]]</f>
        <v>2725.5520504731867</v>
      </c>
      <c r="G3" s="3">
        <f>600*12*10*4/Table1[[#This Row],[Mileage (mix)]]</f>
        <v>9085.1735015772883</v>
      </c>
      <c r="I3" s="3">
        <v>13495</v>
      </c>
      <c r="J3" s="3">
        <f t="shared" si="0"/>
        <v>8306.5</v>
      </c>
      <c r="K3" s="3">
        <f t="shared" si="1"/>
        <v>15537</v>
      </c>
      <c r="L3" s="4">
        <f>10-COUNTBLANK(Table1[[#This Row],[Cars Mechanics Hate (CarTalk)]:[JD Power Quality]])</f>
        <v>2</v>
      </c>
      <c r="R3" t="s">
        <v>29</v>
      </c>
      <c r="S3" t="s">
        <v>14</v>
      </c>
    </row>
    <row r="4" spans="1:22" hidden="1" x14ac:dyDescent="0.25">
      <c r="A4" t="s">
        <v>32</v>
      </c>
      <c r="C4">
        <v>20</v>
      </c>
      <c r="D4">
        <v>28</v>
      </c>
      <c r="E4">
        <f>Table1[[#This Row],[Mileage (city)]]*0.7+Table1[[#This Row],[Mileage (hwy)]]*0.3</f>
        <v>22.4</v>
      </c>
      <c r="F4" s="3">
        <f>600*12*3*4/Table1[[#This Row],[Mileage (mix)]]</f>
        <v>3857.1428571428573</v>
      </c>
      <c r="G4" s="3">
        <f>600*12*10*4/Table1[[#This Row],[Mileage (mix)]]</f>
        <v>12857.142857142859</v>
      </c>
      <c r="I4" s="3">
        <v>7792</v>
      </c>
      <c r="J4" s="3">
        <f t="shared" si="0"/>
        <v>8306.5</v>
      </c>
      <c r="K4" s="3">
        <f t="shared" si="1"/>
        <v>15537</v>
      </c>
      <c r="L4" s="4">
        <f>10-COUNTBLANK(Table1[[#This Row],[Cars Mechanics Hate (CarTalk)]:[JD Power Quality]])</f>
        <v>3</v>
      </c>
      <c r="M4" t="s">
        <v>14</v>
      </c>
      <c r="S4" t="s">
        <v>14</v>
      </c>
      <c r="U4" t="s">
        <v>14</v>
      </c>
    </row>
    <row r="5" spans="1:22" hidden="1" x14ac:dyDescent="0.25">
      <c r="A5" t="s">
        <v>33</v>
      </c>
      <c r="C5">
        <v>41</v>
      </c>
      <c r="D5">
        <v>36</v>
      </c>
      <c r="E5">
        <f>Table1[[#This Row],[Mileage (city)]]*0.7+Table1[[#This Row],[Mileage (hwy)]]*0.3</f>
        <v>39.5</v>
      </c>
      <c r="F5" s="3">
        <f>600*12*3*4/Table1[[#This Row],[Mileage (mix)]]</f>
        <v>2187.3417721518986</v>
      </c>
      <c r="G5" s="3">
        <f>600*12*10*4/Table1[[#This Row],[Mileage (mix)]]</f>
        <v>7291.1392405063289</v>
      </c>
      <c r="I5" s="3">
        <v>27950</v>
      </c>
      <c r="J5" s="3">
        <f t="shared" si="0"/>
        <v>8306.5</v>
      </c>
      <c r="K5" s="3">
        <f t="shared" si="1"/>
        <v>15537</v>
      </c>
      <c r="L5" s="4">
        <f>10-COUNTBLANK(Table1[[#This Row],[Cars Mechanics Hate (CarTalk)]:[JD Power Quality]])</f>
        <v>2</v>
      </c>
      <c r="M5" t="s">
        <v>14</v>
      </c>
      <c r="S5" t="s">
        <v>14</v>
      </c>
    </row>
    <row r="6" spans="1:22" hidden="1" x14ac:dyDescent="0.25">
      <c r="A6" t="s">
        <v>5</v>
      </c>
      <c r="C6">
        <v>21</v>
      </c>
      <c r="D6">
        <v>31</v>
      </c>
      <c r="E6">
        <f>Table1[[#This Row],[Mileage (city)]]*0.7+Table1[[#This Row],[Mileage (hwy)]]*0.3</f>
        <v>24</v>
      </c>
      <c r="F6" s="3">
        <f>600*12*3*4/Table1[[#This Row],[Mileage (mix)]]</f>
        <v>3600</v>
      </c>
      <c r="G6" s="3">
        <f>600*12*10*4/Table1[[#This Row],[Mileage (mix)]]</f>
        <v>12000</v>
      </c>
      <c r="I6" s="3">
        <v>7612</v>
      </c>
      <c r="K6" s="6"/>
      <c r="L6" s="4">
        <f>10-COUNTBLANK(Table1[[#This Row],[Cars Mechanics Hate (CarTalk)]:[JD Power Quality]])</f>
        <v>4</v>
      </c>
      <c r="M6" t="s">
        <v>14</v>
      </c>
      <c r="O6" t="s">
        <v>14</v>
      </c>
      <c r="T6" t="s">
        <v>36</v>
      </c>
      <c r="V6" t="s">
        <v>14</v>
      </c>
    </row>
    <row r="7" spans="1:22" x14ac:dyDescent="0.25">
      <c r="A7" s="16" t="s">
        <v>4</v>
      </c>
      <c r="B7" t="s">
        <v>59</v>
      </c>
      <c r="C7">
        <v>27</v>
      </c>
      <c r="D7">
        <v>34</v>
      </c>
      <c r="E7">
        <f>Table1[[#This Row],[Mileage (city)]]*0.7+Table1[[#This Row],[Mileage (hwy)]]*0.3</f>
        <v>29.099999999999998</v>
      </c>
      <c r="F7" s="3">
        <f>600*12*3*4/Table1[[#This Row],[Mileage (mix)]]</f>
        <v>2969.072164948454</v>
      </c>
      <c r="G7" s="3">
        <f>600*12*10*4/Table1[[#This Row],[Mileage (mix)]]</f>
        <v>9896.9072164948466</v>
      </c>
      <c r="H7" s="3">
        <f>678-19</f>
        <v>659</v>
      </c>
      <c r="I7" s="3">
        <v>7198</v>
      </c>
      <c r="J7" s="3">
        <f t="shared" si="0"/>
        <v>8306.5</v>
      </c>
      <c r="K7" s="3">
        <f>(11211+9855)/2</f>
        <v>10533</v>
      </c>
      <c r="L7" s="4">
        <f>10-COUNTBLANK(Table1[[#This Row],[Cars Mechanics Hate (CarTalk)]:[JD Power Quality]])</f>
        <v>7</v>
      </c>
      <c r="M7" t="s">
        <v>14</v>
      </c>
      <c r="O7" t="s">
        <v>14</v>
      </c>
      <c r="Q7" t="s">
        <v>18</v>
      </c>
      <c r="R7" t="s">
        <v>27</v>
      </c>
      <c r="S7" t="s">
        <v>14</v>
      </c>
      <c r="T7" t="s">
        <v>18</v>
      </c>
      <c r="V7" t="s">
        <v>14</v>
      </c>
    </row>
    <row r="8" spans="1:22" hidden="1" x14ac:dyDescent="0.25">
      <c r="A8" s="16" t="s">
        <v>19</v>
      </c>
      <c r="B8" t="s">
        <v>59</v>
      </c>
      <c r="C8">
        <v>37</v>
      </c>
      <c r="D8">
        <v>45</v>
      </c>
      <c r="E8">
        <f>Table1[[#This Row],[Mileage (city)]]*0.7+Table1[[#This Row],[Mileage (hwy)]]*0.3</f>
        <v>39.4</v>
      </c>
      <c r="F8" s="3">
        <f>600*12*3*4/Table1[[#This Row],[Mileage (mix)]]</f>
        <v>2192.8934010152284</v>
      </c>
      <c r="G8" s="3">
        <f>600*12*10*4/Table1[[#This Row],[Mileage (mix)]]</f>
        <v>7309.6446700507613</v>
      </c>
      <c r="H8" s="3">
        <f>678-19</f>
        <v>659</v>
      </c>
      <c r="I8" s="3">
        <v>9765</v>
      </c>
      <c r="J8" s="3">
        <f>(11972+11122)/2</f>
        <v>11547</v>
      </c>
      <c r="K8" s="3">
        <f t="shared" si="1"/>
        <v>15537</v>
      </c>
      <c r="L8" s="4">
        <f>10-COUNTBLANK(Table1[[#This Row],[Cars Mechanics Hate (CarTalk)]:[JD Power Quality]])</f>
        <v>3</v>
      </c>
      <c r="Q8" t="s">
        <v>20</v>
      </c>
      <c r="R8" t="s">
        <v>14</v>
      </c>
      <c r="V8" t="s">
        <v>14</v>
      </c>
    </row>
    <row r="9" spans="1:22" hidden="1" x14ac:dyDescent="0.25">
      <c r="A9" t="s">
        <v>8</v>
      </c>
      <c r="C9">
        <v>20</v>
      </c>
      <c r="D9">
        <v>26</v>
      </c>
      <c r="E9">
        <f>Table1[[#This Row],[Mileage (city)]]*0.7+Table1[[#This Row],[Mileage (hwy)]]*0.3</f>
        <v>21.8</v>
      </c>
      <c r="F9" s="3">
        <f>600*12*3*4/Table1[[#This Row],[Mileage (mix)]]</f>
        <v>3963.3027522935777</v>
      </c>
      <c r="G9" s="3">
        <f>600*12*10*4/Table1[[#This Row],[Mileage (mix)]]</f>
        <v>13211.009174311926</v>
      </c>
      <c r="I9" s="3">
        <v>10184</v>
      </c>
      <c r="L9" s="4">
        <f>10-COUNTBLANK(Table1[[#This Row],[Cars Mechanics Hate (CarTalk)]:[JD Power Quality]])</f>
        <v>5</v>
      </c>
      <c r="M9" t="s">
        <v>14</v>
      </c>
      <c r="N9" t="s">
        <v>14</v>
      </c>
      <c r="T9" t="s">
        <v>14</v>
      </c>
      <c r="U9" t="s">
        <v>14</v>
      </c>
      <c r="V9" t="s">
        <v>14</v>
      </c>
    </row>
    <row r="10" spans="1:22" hidden="1" x14ac:dyDescent="0.25">
      <c r="A10" t="s">
        <v>9</v>
      </c>
      <c r="C10">
        <v>19</v>
      </c>
      <c r="D10">
        <v>23</v>
      </c>
      <c r="E10">
        <f>Table1[[#This Row],[Mileage (city)]]*0.7+Table1[[#This Row],[Mileage (hwy)]]*0.3</f>
        <v>20.2</v>
      </c>
      <c r="F10" s="3">
        <f>600*12*3*4/Table1[[#This Row],[Mileage (mix)]]</f>
        <v>4277.227722772277</v>
      </c>
      <c r="G10" s="3">
        <f>600*12*10*4/Table1[[#This Row],[Mileage (mix)]]</f>
        <v>14257.425742574258</v>
      </c>
      <c r="I10" s="3">
        <v>9511</v>
      </c>
      <c r="L10" s="4">
        <f>10-COUNTBLANK(Table1[[#This Row],[Cars Mechanics Hate (CarTalk)]:[JD Power Quality]])</f>
        <v>5</v>
      </c>
      <c r="M10" t="s">
        <v>14</v>
      </c>
      <c r="S10" t="s">
        <v>14</v>
      </c>
      <c r="T10" t="s">
        <v>37</v>
      </c>
      <c r="U10" t="s">
        <v>14</v>
      </c>
      <c r="V10" t="s">
        <v>14</v>
      </c>
    </row>
    <row r="11" spans="1:22" x14ac:dyDescent="0.25">
      <c r="A11" s="16" t="s">
        <v>31</v>
      </c>
      <c r="B11" t="s">
        <v>59</v>
      </c>
      <c r="C11">
        <v>28</v>
      </c>
      <c r="D11">
        <v>34</v>
      </c>
      <c r="E11">
        <f>Table1[[#This Row],[Mileage (city)]]*0.7+Table1[[#This Row],[Mileage (hwy)]]*0.3</f>
        <v>29.799999999999997</v>
      </c>
      <c r="F11" s="3">
        <f>600*12*3*4/Table1[[#This Row],[Mileage (mix)]]</f>
        <v>2899.3288590604029</v>
      </c>
      <c r="G11" s="3">
        <f>600*12*10*4/Table1[[#This Row],[Mileage (mix)]]</f>
        <v>9664.4295302013434</v>
      </c>
      <c r="H11" s="3">
        <f>678-19</f>
        <v>659</v>
      </c>
      <c r="I11" s="3">
        <v>9886</v>
      </c>
      <c r="J11" s="3">
        <v>9609</v>
      </c>
      <c r="K11" s="3">
        <f>(10624+12604)/2</f>
        <v>11614</v>
      </c>
      <c r="L11" s="4">
        <f>10-COUNTBLANK(Table1[[#This Row],[Cars Mechanics Hate (CarTalk)]:[JD Power Quality]])</f>
        <v>4</v>
      </c>
      <c r="P11" t="s">
        <v>14</v>
      </c>
      <c r="Q11" t="s">
        <v>20</v>
      </c>
      <c r="U11" t="s">
        <v>14</v>
      </c>
      <c r="V11" t="s">
        <v>14</v>
      </c>
    </row>
    <row r="12" spans="1:22" hidden="1" x14ac:dyDescent="0.25">
      <c r="A12" t="s">
        <v>26</v>
      </c>
      <c r="C12">
        <v>48</v>
      </c>
      <c r="D12">
        <v>58</v>
      </c>
      <c r="E12">
        <f>Table1[[#This Row],[Mileage (city)]]*0.7+Table1[[#This Row],[Mileage (hwy)]]*0.3</f>
        <v>50.999999999999993</v>
      </c>
      <c r="F12" s="3">
        <f>600*12*3*4/Table1[[#This Row],[Mileage (mix)]]</f>
        <v>1694.1176470588239</v>
      </c>
      <c r="G12" s="3">
        <f>600*12*10*4/Table1[[#This Row],[Mileage (mix)]]</f>
        <v>5647.0588235294126</v>
      </c>
      <c r="I12" s="3">
        <v>10597</v>
      </c>
      <c r="L12" s="4">
        <f>10-COUNTBLANK(Table1[[#This Row],[Cars Mechanics Hate (CarTalk)]:[JD Power Quality]])</f>
        <v>2</v>
      </c>
      <c r="R12" t="s">
        <v>14</v>
      </c>
      <c r="V12" t="s">
        <v>14</v>
      </c>
    </row>
    <row r="13" spans="1:22" hidden="1" x14ac:dyDescent="0.25">
      <c r="A13" t="s">
        <v>52</v>
      </c>
      <c r="C13">
        <v>30</v>
      </c>
      <c r="D13">
        <v>40</v>
      </c>
      <c r="E13" s="4">
        <f>Table1[[#This Row],[Mileage (city)]]*0.7+Table1[[#This Row],[Mileage (hwy)]]*0.3</f>
        <v>33</v>
      </c>
      <c r="F13" s="5">
        <f>600*12*3*4/Table1[[#This Row],[Mileage (mix)]]</f>
        <v>2618.181818181818</v>
      </c>
      <c r="G13" s="6">
        <f>600*12*10*4/Table1[[#This Row],[Mileage (mix)]]</f>
        <v>8727.2727272727279</v>
      </c>
      <c r="H13" s="6"/>
      <c r="I13" s="7">
        <v>7313</v>
      </c>
      <c r="J13" s="7"/>
      <c r="K13" s="7"/>
      <c r="L13" s="8">
        <f>10-COUNTBLANK(Table1[[#This Row],[Cars Mechanics Hate (CarTalk)]:[JD Power Quality]])</f>
        <v>1</v>
      </c>
      <c r="U13" t="s">
        <v>14</v>
      </c>
    </row>
    <row r="14" spans="1:22" hidden="1" x14ac:dyDescent="0.25">
      <c r="A14" t="s">
        <v>15</v>
      </c>
      <c r="C14">
        <v>23</v>
      </c>
      <c r="D14">
        <v>31</v>
      </c>
      <c r="E14">
        <f>Table1[[#This Row],[Mileage (city)]]*0.7+Table1[[#This Row],[Mileage (hwy)]]*0.3</f>
        <v>25.4</v>
      </c>
      <c r="F14" s="3">
        <f>600*12*3*4/Table1[[#This Row],[Mileage (mix)]]</f>
        <v>3401.5748031496064</v>
      </c>
      <c r="G14" s="3">
        <f>600*12*10*4/Table1[[#This Row],[Mileage (mix)]]</f>
        <v>11338.582677165356</v>
      </c>
      <c r="I14" s="3">
        <v>5421</v>
      </c>
      <c r="L14" s="4">
        <f>10-COUNTBLANK(Table1[[#This Row],[Cars Mechanics Hate (CarTalk)]:[JD Power Quality]])</f>
        <v>3</v>
      </c>
      <c r="N14" t="s">
        <v>14</v>
      </c>
      <c r="R14" t="s">
        <v>14</v>
      </c>
      <c r="U14" t="s">
        <v>14</v>
      </c>
    </row>
    <row r="15" spans="1:22" hidden="1" x14ac:dyDescent="0.25">
      <c r="A15" t="s">
        <v>49</v>
      </c>
      <c r="C15">
        <v>23</v>
      </c>
      <c r="D15">
        <v>31</v>
      </c>
      <c r="E15" s="4">
        <f>Table1[[#This Row],[Mileage (city)]]*0.7+Table1[[#This Row],[Mileage (hwy)]]*0.3</f>
        <v>25.4</v>
      </c>
      <c r="F15" s="5">
        <f>600*12*3*4/Table1[[#This Row],[Mileage (mix)]]</f>
        <v>3401.5748031496064</v>
      </c>
      <c r="G15" s="6">
        <f>600*12*10*4/Table1[[#This Row],[Mileage (mix)]]</f>
        <v>11338.582677165356</v>
      </c>
      <c r="H15" s="6"/>
      <c r="I15" s="7">
        <v>12000</v>
      </c>
      <c r="J15" s="7"/>
      <c r="K15" s="7"/>
      <c r="L15" s="8">
        <f>10-COUNTBLANK(Table1[[#This Row],[Cars Mechanics Hate (CarTalk)]:[JD Power Quality]])</f>
        <v>0</v>
      </c>
    </row>
    <row r="16" spans="1:22" hidden="1" x14ac:dyDescent="0.25">
      <c r="A16" t="s">
        <v>48</v>
      </c>
      <c r="C16">
        <v>24</v>
      </c>
      <c r="D16">
        <v>35</v>
      </c>
      <c r="E16" s="4">
        <f>Table1[[#This Row],[Mileage (city)]]*0.7+Table1[[#This Row],[Mileage (hwy)]]*0.3</f>
        <v>27.299999999999997</v>
      </c>
      <c r="F16" s="5">
        <f>600*12*3*4/Table1[[#This Row],[Mileage (mix)]]</f>
        <v>3164.835164835165</v>
      </c>
      <c r="G16" s="6">
        <f>600*12*10*4/Table1[[#This Row],[Mileage (mix)]]</f>
        <v>10549.45054945055</v>
      </c>
      <c r="H16" s="6"/>
      <c r="I16" s="7">
        <v>9000</v>
      </c>
      <c r="J16" s="7"/>
      <c r="K16" s="7"/>
      <c r="L16" s="8">
        <f>10-COUNTBLANK(Table1[[#This Row],[Cars Mechanics Hate (CarTalk)]:[JD Power Quality]])</f>
        <v>0</v>
      </c>
    </row>
    <row r="17" spans="1:22" hidden="1" x14ac:dyDescent="0.25">
      <c r="A17" t="s">
        <v>24</v>
      </c>
      <c r="C17">
        <v>24</v>
      </c>
      <c r="D17">
        <v>33</v>
      </c>
      <c r="E17">
        <f>Table1[[#This Row],[Mileage (city)]]*0.7+Table1[[#This Row],[Mileage (hwy)]]*0.3</f>
        <v>26.699999999999996</v>
      </c>
      <c r="F17" s="3">
        <f>600*12*3*4/Table1[[#This Row],[Mileage (mix)]]</f>
        <v>3235.955056179776</v>
      </c>
      <c r="G17" s="3">
        <f>600*12*10*4/Table1[[#This Row],[Mileage (mix)]]</f>
        <v>10786.516853932586</v>
      </c>
      <c r="I17" s="3">
        <v>9872</v>
      </c>
      <c r="L17" s="4">
        <f>10-COUNTBLANK(Table1[[#This Row],[Cars Mechanics Hate (CarTalk)]:[JD Power Quality]])</f>
        <v>3</v>
      </c>
      <c r="Q17" t="s">
        <v>14</v>
      </c>
      <c r="R17" t="s">
        <v>14</v>
      </c>
      <c r="S17" t="s">
        <v>14</v>
      </c>
    </row>
    <row r="18" spans="1:22" hidden="1" x14ac:dyDescent="0.25">
      <c r="A18" t="s">
        <v>12</v>
      </c>
      <c r="C18">
        <v>21</v>
      </c>
      <c r="D18">
        <v>29</v>
      </c>
      <c r="E18">
        <f>Table1[[#This Row],[Mileage (city)]]*0.7+Table1[[#This Row],[Mileage (hwy)]]*0.3</f>
        <v>23.4</v>
      </c>
      <c r="F18" s="3">
        <f>600*12*3*4/Table1[[#This Row],[Mileage (mix)]]</f>
        <v>3692.3076923076924</v>
      </c>
      <c r="G18" s="3">
        <f>600*12*10*4/Table1[[#This Row],[Mileage (mix)]]</f>
        <v>12307.692307692309</v>
      </c>
      <c r="I18" s="3">
        <v>7095</v>
      </c>
      <c r="L18" s="4">
        <f>10-COUNTBLANK(Table1[[#This Row],[Cars Mechanics Hate (CarTalk)]:[JD Power Quality]])</f>
        <v>2</v>
      </c>
      <c r="M18" t="s">
        <v>14</v>
      </c>
      <c r="O18" t="s">
        <v>14</v>
      </c>
    </row>
    <row r="19" spans="1:22" hidden="1" x14ac:dyDescent="0.25">
      <c r="A19" t="s">
        <v>21</v>
      </c>
      <c r="C19">
        <v>27</v>
      </c>
      <c r="D19">
        <v>31</v>
      </c>
      <c r="E19">
        <f>Table1[[#This Row],[Mileage (city)]]*0.7+Table1[[#This Row],[Mileage (hwy)]]*0.3</f>
        <v>28.199999999999996</v>
      </c>
      <c r="F19" s="3">
        <f>600*12*3*4/Table1[[#This Row],[Mileage (mix)]]</f>
        <v>3063.8297872340431</v>
      </c>
      <c r="G19" s="3">
        <f>600*12*10*4/Table1[[#This Row],[Mileage (mix)]]</f>
        <v>10212.765957446811</v>
      </c>
      <c r="I19" s="3">
        <v>7614</v>
      </c>
      <c r="L19" s="4">
        <f>10-COUNTBLANK(Table1[[#This Row],[Cars Mechanics Hate (CarTalk)]:[JD Power Quality]])</f>
        <v>2</v>
      </c>
      <c r="Q19" t="s">
        <v>20</v>
      </c>
      <c r="S19" t="s">
        <v>14</v>
      </c>
    </row>
    <row r="20" spans="1:22" hidden="1" x14ac:dyDescent="0.25">
      <c r="A20" t="s">
        <v>11</v>
      </c>
      <c r="C20">
        <v>20</v>
      </c>
      <c r="D20">
        <v>27</v>
      </c>
      <c r="E20">
        <f>Table1[[#This Row],[Mileage (city)]]*0.7+Table1[[#This Row],[Mileage (hwy)]]*0.3</f>
        <v>22.1</v>
      </c>
      <c r="F20" s="3">
        <f>600*12*3*4/Table1[[#This Row],[Mileage (mix)]]</f>
        <v>3909.5022624434387</v>
      </c>
      <c r="G20" s="3">
        <f>600*12*10*4/Table1[[#This Row],[Mileage (mix)]]</f>
        <v>13031.674208144796</v>
      </c>
      <c r="I20" s="3">
        <v>9144</v>
      </c>
      <c r="L20" s="4">
        <f>10-COUNTBLANK(Table1[[#This Row],[Cars Mechanics Hate (CarTalk)]:[JD Power Quality]])</f>
        <v>3</v>
      </c>
      <c r="M20" t="s">
        <v>14</v>
      </c>
      <c r="S20" t="s">
        <v>14</v>
      </c>
      <c r="U20" t="s">
        <v>14</v>
      </c>
    </row>
    <row r="21" spans="1:22" hidden="1" x14ac:dyDescent="0.25">
      <c r="A21" t="s">
        <v>10</v>
      </c>
      <c r="C21">
        <v>20</v>
      </c>
      <c r="D21">
        <v>27</v>
      </c>
      <c r="E21">
        <f>Table1[[#This Row],[Mileage (city)]]*0.7+Table1[[#This Row],[Mileage (hwy)]]*0.3</f>
        <v>22.1</v>
      </c>
      <c r="F21" s="3">
        <f>600*12*3*4/Table1[[#This Row],[Mileage (mix)]]</f>
        <v>3909.5022624434387</v>
      </c>
      <c r="G21" s="3">
        <f>600*12*10*4/Table1[[#This Row],[Mileage (mix)]]</f>
        <v>13031.674208144796</v>
      </c>
      <c r="I21" s="3">
        <v>8844</v>
      </c>
      <c r="L21" s="4">
        <f>10-COUNTBLANK(Table1[[#This Row],[Cars Mechanics Hate (CarTalk)]:[JD Power Quality]])</f>
        <v>3</v>
      </c>
      <c r="M21" t="s">
        <v>14</v>
      </c>
      <c r="Q21" t="s">
        <v>23</v>
      </c>
      <c r="S21" t="s">
        <v>14</v>
      </c>
    </row>
    <row r="22" spans="1:22" hidden="1" x14ac:dyDescent="0.25">
      <c r="A22" t="s">
        <v>51</v>
      </c>
      <c r="C22">
        <v>22</v>
      </c>
      <c r="D22">
        <v>30</v>
      </c>
      <c r="E22" s="4">
        <f>Table1[[#This Row],[Mileage (city)]]*0.7+Table1[[#This Row],[Mileage (hwy)]]*0.3</f>
        <v>24.4</v>
      </c>
      <c r="F22" s="5">
        <f>600*12*3*4/Table1[[#This Row],[Mileage (mix)]]</f>
        <v>3540.9836065573772</v>
      </c>
      <c r="G22" s="6">
        <f>600*12*10*4/Table1[[#This Row],[Mileage (mix)]]</f>
        <v>11803.278688524591</v>
      </c>
      <c r="H22" s="6"/>
      <c r="I22" s="7"/>
      <c r="J22" s="7"/>
      <c r="K22" s="7"/>
      <c r="L22" s="8">
        <f>10-COUNTBLANK(Table1[[#This Row],[Cars Mechanics Hate (CarTalk)]:[JD Power Quality]])</f>
        <v>1</v>
      </c>
      <c r="U22" t="s">
        <v>14</v>
      </c>
    </row>
    <row r="23" spans="1:22" hidden="1" x14ac:dyDescent="0.25">
      <c r="A23" t="s">
        <v>6</v>
      </c>
      <c r="C23">
        <v>21</v>
      </c>
      <c r="D23">
        <v>30</v>
      </c>
      <c r="E23">
        <f>Table1[[#This Row],[Mileage (city)]]*0.7+Table1[[#This Row],[Mileage (hwy)]]*0.3</f>
        <v>23.7</v>
      </c>
      <c r="F23" s="3">
        <f>600*12*3*4/Table1[[#This Row],[Mileage (mix)]]</f>
        <v>3645.5696202531649</v>
      </c>
      <c r="G23" s="3">
        <f>600*12*10*4/Table1[[#This Row],[Mileage (mix)]]</f>
        <v>12151.898734177215</v>
      </c>
      <c r="I23" s="3">
        <v>7939</v>
      </c>
      <c r="L23" s="4">
        <f>10-COUNTBLANK(Table1[[#This Row],[Cars Mechanics Hate (CarTalk)]:[JD Power Quality]])</f>
        <v>5</v>
      </c>
      <c r="M23" t="s">
        <v>14</v>
      </c>
      <c r="N23" t="s">
        <v>14</v>
      </c>
      <c r="O23" t="s">
        <v>14</v>
      </c>
      <c r="U23" t="s">
        <v>14</v>
      </c>
      <c r="V23" t="s">
        <v>14</v>
      </c>
    </row>
    <row r="24" spans="1:22" x14ac:dyDescent="0.25">
      <c r="A24" s="16" t="s">
        <v>57</v>
      </c>
      <c r="B24" t="s">
        <v>59</v>
      </c>
      <c r="C24">
        <v>28</v>
      </c>
      <c r="D24">
        <v>37</v>
      </c>
      <c r="E24" s="14">
        <f>Table1[[#This Row],[Mileage (city)]]*0.7+Table1[[#This Row],[Mileage (hwy)]]*0.3</f>
        <v>30.699999999999996</v>
      </c>
      <c r="F24" s="15">
        <f>600*12*3*4/Table1[[#This Row],[Mileage (mix)]]</f>
        <v>2814.3322475570035</v>
      </c>
      <c r="G24" s="3">
        <f>600*12*10*4/Table1[[#This Row],[Mileage (mix)]]</f>
        <v>9381.1074918566792</v>
      </c>
      <c r="H24" s="3">
        <v>678</v>
      </c>
      <c r="I24" s="3">
        <v>6967</v>
      </c>
      <c r="J24" s="6">
        <f>(8158+7691)/2</f>
        <v>7924.5</v>
      </c>
      <c r="K24" s="6">
        <f>(9374+11673)/2</f>
        <v>10523.5</v>
      </c>
      <c r="L24" s="4">
        <f>10-COUNTBLANK(Table1[[#This Row],[Cars Mechanics Hate (CarTalk)]:[JD Power Quality]])</f>
        <v>5</v>
      </c>
      <c r="M24" t="s">
        <v>14</v>
      </c>
      <c r="O24" t="s">
        <v>14</v>
      </c>
      <c r="P24" t="s">
        <v>14</v>
      </c>
      <c r="S24" t="s">
        <v>14</v>
      </c>
      <c r="U24" t="s">
        <v>14</v>
      </c>
    </row>
    <row r="25" spans="1:22" hidden="1" x14ac:dyDescent="0.25">
      <c r="A25" t="s">
        <v>50</v>
      </c>
      <c r="C25">
        <v>26</v>
      </c>
      <c r="D25">
        <v>32</v>
      </c>
      <c r="E25" s="4">
        <f>Table1[[#This Row],[Mileage (city)]]*0.7+Table1[[#This Row],[Mileage (hwy)]]*0.3</f>
        <v>27.799999999999997</v>
      </c>
      <c r="F25" s="5">
        <f>600*12*3*4/Table1[[#This Row],[Mileage (mix)]]</f>
        <v>3107.9136690647483</v>
      </c>
      <c r="G25" s="6">
        <f>600*12*10*4/Table1[[#This Row],[Mileage (mix)]]</f>
        <v>10359.712230215828</v>
      </c>
      <c r="H25" s="6"/>
      <c r="I25" s="7">
        <v>10000</v>
      </c>
      <c r="J25" s="7"/>
      <c r="K25" s="7"/>
      <c r="L25" s="8">
        <f>10-COUNTBLANK(Table1[[#This Row],[Cars Mechanics Hate (CarTalk)]:[JD Power Quality]])</f>
        <v>1</v>
      </c>
      <c r="U25" t="s">
        <v>14</v>
      </c>
    </row>
    <row r="26" spans="1:22" x14ac:dyDescent="0.25">
      <c r="A26" s="16" t="s">
        <v>7</v>
      </c>
      <c r="B26" t="s">
        <v>59</v>
      </c>
      <c r="C26">
        <v>48</v>
      </c>
      <c r="D26">
        <v>45</v>
      </c>
      <c r="E26">
        <f>Table1[[#This Row],[Mileage (city)]]*0.7+Table1[[#This Row],[Mileage (hwy)]]*0.3</f>
        <v>47.099999999999994</v>
      </c>
      <c r="F26" s="3">
        <f>600*12*3*4/Table1[[#This Row],[Mileage (mix)]]</f>
        <v>1834.3949044585991</v>
      </c>
      <c r="G26" s="3">
        <f>600*12*10*4/Table1[[#This Row],[Mileage (mix)]]</f>
        <v>6114.6496815286628</v>
      </c>
      <c r="H26" s="3">
        <f>678-19</f>
        <v>659</v>
      </c>
      <c r="I26" s="3">
        <v>10410</v>
      </c>
      <c r="J26" s="3">
        <f>(11561+12530)/2</f>
        <v>12045.5</v>
      </c>
      <c r="K26" s="3">
        <f>(13912+16049)/2</f>
        <v>14980.5</v>
      </c>
      <c r="L26" s="4">
        <f>10-COUNTBLANK(Table1[[#This Row],[Cars Mechanics Hate (CarTalk)]:[JD Power Quality]])</f>
        <v>9</v>
      </c>
      <c r="M26" t="s">
        <v>14</v>
      </c>
      <c r="N26" t="s">
        <v>14</v>
      </c>
      <c r="P26" t="s">
        <v>14</v>
      </c>
      <c r="Q26" t="s">
        <v>22</v>
      </c>
      <c r="R26" t="s">
        <v>14</v>
      </c>
      <c r="S26" t="s">
        <v>14</v>
      </c>
      <c r="T26" t="s">
        <v>14</v>
      </c>
      <c r="U26" t="s">
        <v>14</v>
      </c>
      <c r="V26" t="s">
        <v>14</v>
      </c>
    </row>
    <row r="27" spans="1:22" hidden="1" x14ac:dyDescent="0.25">
      <c r="A27" t="s">
        <v>34</v>
      </c>
      <c r="C27">
        <v>29</v>
      </c>
      <c r="D27">
        <v>36</v>
      </c>
      <c r="E27">
        <f>Table1[[#This Row],[Mileage (city)]]*0.7+Table1[[#This Row],[Mileage (hwy)]]*0.3</f>
        <v>31.099999999999994</v>
      </c>
      <c r="F27" s="3">
        <f>600*12*3*4/Table1[[#This Row],[Mileage (mix)]]</f>
        <v>2778.135048231512</v>
      </c>
      <c r="G27" s="3">
        <f>600*12*10*4/Table1[[#This Row],[Mileage (mix)]]</f>
        <v>9260.4501607717066</v>
      </c>
      <c r="I27" s="3">
        <v>8298</v>
      </c>
      <c r="L27" s="4">
        <f>10-COUNTBLANK(Table1[[#This Row],[Cars Mechanics Hate (CarTalk)]:[JD Power Quality]])</f>
        <v>3</v>
      </c>
      <c r="P27" t="s">
        <v>14</v>
      </c>
      <c r="R27" t="s">
        <v>14</v>
      </c>
      <c r="U27" t="s">
        <v>14</v>
      </c>
    </row>
    <row r="28" spans="1:22" hidden="1" x14ac:dyDescent="0.25">
      <c r="A28" s="9" t="s">
        <v>39</v>
      </c>
      <c r="C28" s="9">
        <v>27</v>
      </c>
      <c r="D28" s="9">
        <v>35</v>
      </c>
      <c r="E28" s="13">
        <f>Table1[[#This Row],[Mileage (city)]]*0.7+Table1[[#This Row],[Mileage (hwy)]]*0.3</f>
        <v>29.4</v>
      </c>
      <c r="F28" s="10">
        <f>600*12*3*4/Table1[[#This Row],[Mileage (mix)]]</f>
        <v>2938.7755102040819</v>
      </c>
      <c r="G28" s="10">
        <f>600*12*10*4/Table1[[#This Row],[Mileage (mix)]]</f>
        <v>9795.9183673469397</v>
      </c>
      <c r="H28" s="10"/>
      <c r="I28" s="11">
        <v>10000</v>
      </c>
      <c r="J28" s="11"/>
      <c r="K28" s="11"/>
      <c r="L28" s="12">
        <f>10-COUNTBLANK(Table1[[#This Row],[Cars Mechanics Hate (CarTalk)]:[JD Power Quality]])</f>
        <v>2</v>
      </c>
      <c r="M28" s="9" t="s">
        <v>14</v>
      </c>
      <c r="N28" s="9"/>
      <c r="O28" s="9"/>
      <c r="P28" s="9"/>
      <c r="Q28" s="9"/>
      <c r="R28" s="9"/>
      <c r="S28" s="9"/>
      <c r="T28" s="9"/>
      <c r="U28" s="9"/>
      <c r="V28" s="9" t="s">
        <v>14</v>
      </c>
    </row>
    <row r="29" spans="1:22" hidden="1" x14ac:dyDescent="0.25">
      <c r="A29" t="s">
        <v>53</v>
      </c>
      <c r="C29">
        <v>28</v>
      </c>
      <c r="D29">
        <v>34</v>
      </c>
      <c r="E29" s="4">
        <f>Table1[[#This Row],[Mileage (city)]]*0.7+Table1[[#This Row],[Mileage (hwy)]]*0.3</f>
        <v>29.799999999999997</v>
      </c>
      <c r="F29" s="5">
        <f>600*12*3*4/Table1[[#This Row],[Mileage (mix)]]</f>
        <v>2899.3288590604029</v>
      </c>
      <c r="G29" s="6">
        <f>600*12*10*4/Table1[[#This Row],[Mileage (mix)]]</f>
        <v>9664.4295302013434</v>
      </c>
      <c r="H29" s="6"/>
      <c r="I29" s="7"/>
      <c r="J29" s="7"/>
      <c r="K29" s="7"/>
      <c r="L29" s="8">
        <f>10-COUNTBLANK(Table1[[#This Row],[Cars Mechanics Hate (CarTalk)]:[JD Power Quality]])</f>
        <v>1</v>
      </c>
      <c r="U29" t="s">
        <v>14</v>
      </c>
    </row>
  </sheetData>
  <sortState ref="A2:I23">
    <sortCondition ref="A2:A23"/>
  </sortState>
  <conditionalFormatting sqref="E1:E1048576">
    <cfRule type="top10" dxfId="8" priority="20" percent="1" bottom="1" rank="20"/>
    <cfRule type="top10" dxfId="7" priority="21" percent="1" rank="20"/>
  </conditionalFormatting>
  <conditionalFormatting sqref="F1:F1048576">
    <cfRule type="top10" dxfId="6" priority="9" percent="1" bottom="1" rank="15"/>
  </conditionalFormatting>
  <conditionalFormatting sqref="I1:I104857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:L29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2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:F29">
    <cfRule type="top10" dxfId="5" priority="35" percent="1" bottom="1" rank="15"/>
    <cfRule type="top10" dxfId="4" priority="36" percent="1" rank="15"/>
    <cfRule type="top10" dxfId="3" priority="37" percent="1" bottom="1" rank="10"/>
    <cfRule type="top10" dxfId="2" priority="38" percent="1" rank="10"/>
  </conditionalFormatting>
  <conditionalFormatting sqref="G2:G29">
    <cfRule type="top10" dxfId="1" priority="43" percent="1" bottom="1" rank="15"/>
    <cfRule type="top10" dxfId="0" priority="44" percent="1" rank="15"/>
  </conditionalFormatting>
  <conditionalFormatting sqref="J7:J26">
    <cfRule type="colorScale" priority="3">
      <colorScale>
        <cfvo type="min"/>
        <cfvo type="max"/>
        <color rgb="FF63BE7B"/>
        <color rgb="FFFCFCFF"/>
      </colorScale>
    </cfRule>
  </conditionalFormatting>
  <conditionalFormatting sqref="K7:K26">
    <cfRule type="colorScale" priority="2">
      <colorScale>
        <cfvo type="min"/>
        <cfvo type="max"/>
        <color rgb="FF63BE7B"/>
        <color rgb="FFFCFCFF"/>
      </colorScale>
    </cfRule>
  </conditionalFormatting>
  <conditionalFormatting sqref="I7:I26">
    <cfRule type="colorScale" priority="1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orientation="portrait" horizontalDpi="200" verticalDpi="200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747B192-ED12-49BD-9092-87BD48A7499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29</xm:f>
              </x14:cfvo>
              <x14:cfIcon iconSet="NoIcons" iconId="0"/>
              <x14:cfIcon iconSet="NoIcons" iconId="0"/>
              <x14:cfIcon iconSet="3Arrows" iconId="2"/>
            </x14:iconSet>
          </x14:cfRule>
          <xm:sqref>E1:E1048576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7"/>
  <sheetViews>
    <sheetView tabSelected="1" workbookViewId="0">
      <pane xSplit="1" topLeftCell="B1" activePane="topRight" state="frozen"/>
      <selection pane="topRight" activeCell="Z5" sqref="Z5"/>
    </sheetView>
  </sheetViews>
  <sheetFormatPr defaultRowHeight="15" x14ac:dyDescent="0.25"/>
  <cols>
    <col min="1" max="1" width="20.28515625" customWidth="1"/>
    <col min="2" max="2" width="12.28515625" hidden="1" customWidth="1"/>
    <col min="3" max="3" width="11.42578125" hidden="1" customWidth="1"/>
    <col min="4" max="4" width="12" hidden="1" customWidth="1"/>
    <col min="5" max="5" width="12.5703125" hidden="1" customWidth="1"/>
    <col min="6" max="6" width="14.85546875" hidden="1" customWidth="1"/>
    <col min="7" max="8" width="12.42578125" style="3" hidden="1" customWidth="1"/>
    <col min="9" max="9" width="16.5703125" style="17" hidden="1" customWidth="1"/>
    <col min="10" max="11" width="12.42578125" style="17" hidden="1" customWidth="1"/>
    <col min="12" max="13" width="11.5703125" style="17" hidden="1" customWidth="1"/>
    <col min="14" max="14" width="14.7109375" style="18" hidden="1" customWidth="1"/>
    <col min="15" max="15" width="23.85546875" style="3" hidden="1" customWidth="1"/>
    <col min="16" max="17" width="14.28515625" style="3" hidden="1" customWidth="1"/>
    <col min="18" max="18" width="8.140625" hidden="1" customWidth="1"/>
    <col min="19" max="22" width="0" hidden="1" customWidth="1"/>
    <col min="23" max="23" width="16.140625" customWidth="1"/>
    <col min="24" max="24" width="13.5703125" customWidth="1"/>
    <col min="25" max="25" width="16.5703125" customWidth="1"/>
  </cols>
  <sheetData>
    <row r="1" spans="1:39" x14ac:dyDescent="0.25">
      <c r="D1" t="s">
        <v>79</v>
      </c>
      <c r="R1" t="s">
        <v>84</v>
      </c>
      <c r="Z1" t="s">
        <v>85</v>
      </c>
      <c r="AE1" t="s">
        <v>91</v>
      </c>
      <c r="AH1" t="s">
        <v>99</v>
      </c>
    </row>
    <row r="2" spans="1:39" x14ac:dyDescent="0.25">
      <c r="A2" t="s">
        <v>61</v>
      </c>
      <c r="B2" t="s">
        <v>81</v>
      </c>
      <c r="C2" t="s">
        <v>60</v>
      </c>
      <c r="D2" t="s">
        <v>62</v>
      </c>
      <c r="E2" t="s">
        <v>63</v>
      </c>
      <c r="F2" t="s">
        <v>64</v>
      </c>
      <c r="G2" s="3" t="s">
        <v>65</v>
      </c>
      <c r="H2" s="3" t="s">
        <v>106</v>
      </c>
      <c r="I2" s="17" t="s">
        <v>66</v>
      </c>
      <c r="J2" s="17" t="s">
        <v>97</v>
      </c>
      <c r="K2" s="17" t="s">
        <v>98</v>
      </c>
      <c r="L2" s="17" t="s">
        <v>69</v>
      </c>
      <c r="M2" s="17" t="s">
        <v>80</v>
      </c>
      <c r="N2" s="18" t="s">
        <v>67</v>
      </c>
      <c r="O2" s="3" t="s">
        <v>68</v>
      </c>
      <c r="P2" s="3" t="s">
        <v>76</v>
      </c>
      <c r="Q2" s="3" t="s">
        <v>78</v>
      </c>
      <c r="R2" t="s">
        <v>71</v>
      </c>
      <c r="S2" t="s">
        <v>70</v>
      </c>
      <c r="T2" t="s">
        <v>73</v>
      </c>
      <c r="U2" t="s">
        <v>72</v>
      </c>
      <c r="V2" t="s">
        <v>58</v>
      </c>
      <c r="W2" t="s">
        <v>95</v>
      </c>
      <c r="X2" t="s">
        <v>96</v>
      </c>
      <c r="Y2" t="s">
        <v>119</v>
      </c>
      <c r="Z2" t="s">
        <v>86</v>
      </c>
      <c r="AA2" t="s">
        <v>87</v>
      </c>
      <c r="AB2" t="s">
        <v>88</v>
      </c>
      <c r="AC2" t="s">
        <v>89</v>
      </c>
      <c r="AD2" t="s">
        <v>90</v>
      </c>
      <c r="AE2" t="s">
        <v>92</v>
      </c>
      <c r="AF2" t="s">
        <v>93</v>
      </c>
      <c r="AG2" t="s">
        <v>94</v>
      </c>
      <c r="AH2" t="s">
        <v>100</v>
      </c>
      <c r="AI2" t="s">
        <v>101</v>
      </c>
      <c r="AJ2" t="s">
        <v>102</v>
      </c>
      <c r="AK2" t="s">
        <v>103</v>
      </c>
      <c r="AL2" t="s">
        <v>104</v>
      </c>
      <c r="AM2" t="s">
        <v>105</v>
      </c>
    </row>
    <row r="3" spans="1:39" x14ac:dyDescent="0.25">
      <c r="A3" t="s">
        <v>108</v>
      </c>
      <c r="B3" t="s">
        <v>83</v>
      </c>
      <c r="C3">
        <v>2009</v>
      </c>
      <c r="D3">
        <v>27</v>
      </c>
      <c r="E3">
        <v>33</v>
      </c>
      <c r="F3">
        <f>Table2[[#This Row],[Mpg (city)]]*0.7+Table2[[#This Row],[Mpg (hwy)]]*0.3</f>
        <v>28.799999999999997</v>
      </c>
      <c r="G3" s="3">
        <f>4*600*12/Table2[[#This Row],[Mpg (combo)]]</f>
        <v>1000.0000000000001</v>
      </c>
      <c r="H3" s="7">
        <v>1088</v>
      </c>
      <c r="I3" s="17">
        <v>659</v>
      </c>
      <c r="J3" s="17">
        <v>16464</v>
      </c>
      <c r="K3" s="17">
        <v>16064</v>
      </c>
      <c r="M3" s="17">
        <f t="shared" ref="M3" si="0">5573/5</f>
        <v>1114.5999999999999</v>
      </c>
      <c r="N3" s="18">
        <f>600/Table2[[#This Row],[Mpg (combo)]]*19.564*12</f>
        <v>4891</v>
      </c>
      <c r="O3" s="3">
        <f>Table2[[#This Row],[Lb CO2 / yr]]/2000*13</f>
        <v>31.791499999999999</v>
      </c>
      <c r="P3" s="3">
        <f>Table2[[#This Row],[Est Price]]+Table2[[#This Row],[Comprehensive/yr]]*5+Table2[[#This Row],[Gas $ / yr]]*5+Table2[[#This Row],[Cost to offset CO2 / yr]]*5+Table2[[#This Row],[Repairs / yr]]*5</f>
        <v>16171.9575</v>
      </c>
      <c r="Q3" s="3">
        <f>Table2[[#This Row],[Est Price]]+Table2[[#This Row],[Comprehensive/yr]]*10+Table2[[#This Row],[Cost to offset CO2 / yr]]*10+Table2[[#This Row],[Repairs / yr]]*10+Table2[[#This Row],[Gas $ / yr]]*10</f>
        <v>32343.915000000001</v>
      </c>
      <c r="R3">
        <v>20.6</v>
      </c>
      <c r="S3">
        <v>34.4</v>
      </c>
      <c r="T3" t="s">
        <v>74</v>
      </c>
      <c r="U3" t="s">
        <v>75</v>
      </c>
      <c r="V3" t="s">
        <v>59</v>
      </c>
      <c r="W3">
        <f>SUM(Table2[[#This Row],[Passenger]:[Rollover]])</f>
        <v>23</v>
      </c>
      <c r="X3">
        <f>SUM(Table2[[#This Row],[Front Offset]:[Rear Crash]])</f>
        <v>12</v>
      </c>
      <c r="Y3">
        <v>82</v>
      </c>
      <c r="Z3">
        <v>5</v>
      </c>
      <c r="AA3">
        <v>5</v>
      </c>
      <c r="AB3">
        <v>5</v>
      </c>
      <c r="AC3">
        <v>4</v>
      </c>
      <c r="AD3">
        <v>4</v>
      </c>
      <c r="AE3">
        <v>4</v>
      </c>
      <c r="AF3">
        <v>4</v>
      </c>
      <c r="AG3">
        <v>4</v>
      </c>
      <c r="AH3">
        <v>85</v>
      </c>
      <c r="AI3">
        <v>67</v>
      </c>
      <c r="AJ3">
        <v>97</v>
      </c>
      <c r="AK3">
        <v>89</v>
      </c>
      <c r="AL3">
        <v>90</v>
      </c>
      <c r="AM3">
        <v>79</v>
      </c>
    </row>
    <row r="4" spans="1:39" x14ac:dyDescent="0.25">
      <c r="A4" t="s">
        <v>109</v>
      </c>
      <c r="B4" t="s">
        <v>83</v>
      </c>
      <c r="C4">
        <v>2010</v>
      </c>
      <c r="D4">
        <v>27</v>
      </c>
      <c r="E4">
        <v>33</v>
      </c>
      <c r="F4" s="4">
        <f>Table2[[#This Row],[Mpg (city)]]*0.7+Table2[[#This Row],[Mpg (hwy)]]*0.3</f>
        <v>28.799999999999997</v>
      </c>
      <c r="G4" s="3">
        <f>4*600*12/Table2[[#This Row],[Mpg (combo)]]</f>
        <v>1000.0000000000001</v>
      </c>
      <c r="H4" s="3">
        <v>1104</v>
      </c>
      <c r="I4" s="17">
        <v>659</v>
      </c>
      <c r="J4" s="17">
        <v>17817</v>
      </c>
      <c r="K4" s="20">
        <v>17417</v>
      </c>
      <c r="M4" s="20">
        <f>5573/5</f>
        <v>1114.5999999999999</v>
      </c>
      <c r="N4" s="19">
        <f>600/Table2[[#This Row],[Mpg (combo)]]*19.564*12</f>
        <v>4891</v>
      </c>
      <c r="O4" s="3">
        <f>Table2[[#This Row],[Lb CO2 / yr]]/2000*13</f>
        <v>31.791499999999999</v>
      </c>
      <c r="P4" s="6">
        <f>Table2[[#This Row],[Est Price]]+Table2[[#This Row],[Comprehensive/yr]]*5+Table2[[#This Row],[Gas $ / yr]]*5+Table2[[#This Row],[Cost to offset CO2 / yr]]*5+Table2[[#This Row],[Repairs / yr]]*5</f>
        <v>16251.9575</v>
      </c>
      <c r="Q4" s="6">
        <f>Table2[[#This Row],[Est Price]]+Table2[[#This Row],[Comprehensive/yr]]*10+Table2[[#This Row],[Cost to offset CO2 / yr]]*10+Table2[[#This Row],[Repairs / yr]]*10+Table2[[#This Row],[Gas $ / yr]]*10</f>
        <v>32503.915000000001</v>
      </c>
      <c r="R4">
        <v>30.6</v>
      </c>
      <c r="S4">
        <v>34.4</v>
      </c>
      <c r="T4" t="s">
        <v>74</v>
      </c>
      <c r="U4" t="s">
        <v>75</v>
      </c>
      <c r="V4" t="s">
        <v>59</v>
      </c>
      <c r="W4" s="4">
        <f>SUM(Table2[[#This Row],[Passenger]:[Rollover]])</f>
        <v>23</v>
      </c>
      <c r="X4">
        <f>SUM(Table2[[#This Row],[Front Offset]:[Rear Crash]])</f>
        <v>12</v>
      </c>
      <c r="Y4">
        <v>82</v>
      </c>
      <c r="Z4">
        <v>5</v>
      </c>
      <c r="AA4">
        <v>5</v>
      </c>
      <c r="AB4">
        <v>5</v>
      </c>
      <c r="AC4">
        <v>4</v>
      </c>
      <c r="AD4">
        <v>4</v>
      </c>
      <c r="AE4">
        <v>4</v>
      </c>
      <c r="AF4">
        <v>4</v>
      </c>
      <c r="AG4">
        <v>4</v>
      </c>
      <c r="AH4">
        <v>85</v>
      </c>
      <c r="AI4">
        <v>67</v>
      </c>
      <c r="AJ4">
        <v>97</v>
      </c>
      <c r="AK4">
        <v>89</v>
      </c>
      <c r="AL4">
        <v>90</v>
      </c>
      <c r="AM4">
        <v>79</v>
      </c>
    </row>
    <row r="5" spans="1:39" x14ac:dyDescent="0.25">
      <c r="A5" t="s">
        <v>110</v>
      </c>
      <c r="B5" t="s">
        <v>82</v>
      </c>
      <c r="C5">
        <v>2006</v>
      </c>
      <c r="D5">
        <v>48</v>
      </c>
      <c r="E5">
        <v>45</v>
      </c>
      <c r="F5">
        <f>Table2[[#This Row],[Mpg (city)]]*0.7+Table2[[#This Row],[Mpg (hwy)]]*0.3</f>
        <v>47.099999999999994</v>
      </c>
      <c r="G5" s="3">
        <f>4*600*12/Table2[[#This Row],[Mpg (combo)]]</f>
        <v>611.46496815286628</v>
      </c>
      <c r="H5" s="3">
        <f>1022-15</f>
        <v>1007</v>
      </c>
      <c r="I5" s="17">
        <v>659</v>
      </c>
      <c r="J5" s="17">
        <v>14322</v>
      </c>
      <c r="K5" s="17">
        <v>13872</v>
      </c>
      <c r="L5" s="17">
        <v>13000</v>
      </c>
      <c r="M5" s="17">
        <f>5336/5</f>
        <v>1067.2</v>
      </c>
      <c r="N5" s="18">
        <f>600/Table2[[#This Row],[Mpg (combo)]]*19.564*12</f>
        <v>2990.6751592356691</v>
      </c>
      <c r="O5" s="3">
        <f>Table2[[#This Row],[Lb CO2 / yr]]/2000*13</f>
        <v>19.439388535031849</v>
      </c>
      <c r="P5" s="3">
        <f>Table2[[#This Row],[Est Price]]+Table2[[#This Row],[Comprehensive/yr]]*5+Table2[[#This Row],[Gas $ / yr]]*5+Table2[[#This Row],[Cost to offset CO2 / yr]]*5+Table2[[#This Row],[Repairs / yr]]*5</f>
        <v>26525.521783439493</v>
      </c>
      <c r="Q5" s="3">
        <f>Table2[[#This Row],[Est Price]]+Table2[[#This Row],[Comprehensive/yr]]*10+Table2[[#This Row],[Cost to offset CO2 / yr]]*10+Table2[[#This Row],[Repairs / yr]]*10+Table2[[#This Row],[Gas $ / yr]]*10</f>
        <v>40051.043566878987</v>
      </c>
      <c r="R5">
        <v>16.100000000000001</v>
      </c>
      <c r="S5">
        <v>34.1</v>
      </c>
      <c r="T5" t="s">
        <v>74</v>
      </c>
      <c r="U5" t="s">
        <v>77</v>
      </c>
      <c r="V5" t="s">
        <v>59</v>
      </c>
      <c r="W5">
        <f>SUM(Table2[[#This Row],[Passenger]:[Rollover]])</f>
        <v>20</v>
      </c>
      <c r="X5">
        <f>SUM(Table2[[#This Row],[Front Offset]:[Rear Crash]])</f>
        <v>10</v>
      </c>
      <c r="Y5">
        <v>87</v>
      </c>
      <c r="Z5">
        <v>4</v>
      </c>
      <c r="AA5">
        <v>4</v>
      </c>
      <c r="AB5">
        <v>4</v>
      </c>
      <c r="AC5">
        <v>4</v>
      </c>
      <c r="AD5">
        <v>4</v>
      </c>
      <c r="AE5">
        <v>4</v>
      </c>
      <c r="AF5">
        <v>4</v>
      </c>
      <c r="AG5">
        <v>2</v>
      </c>
      <c r="AH5">
        <v>103</v>
      </c>
      <c r="AI5">
        <v>77</v>
      </c>
      <c r="AJ5">
        <v>71</v>
      </c>
      <c r="AK5">
        <v>79</v>
      </c>
      <c r="AL5">
        <v>87</v>
      </c>
      <c r="AM5">
        <v>85</v>
      </c>
    </row>
    <row r="6" spans="1:39" x14ac:dyDescent="0.25">
      <c r="A6" t="s">
        <v>111</v>
      </c>
      <c r="B6" t="s">
        <v>82</v>
      </c>
      <c r="C6">
        <v>2007</v>
      </c>
      <c r="D6">
        <v>48</v>
      </c>
      <c r="E6">
        <v>45</v>
      </c>
      <c r="F6">
        <f>Table2[[#This Row],[Mpg (city)]]*0.7+Table2[[#This Row],[Mpg (hwy)]]*0.3</f>
        <v>47.099999999999994</v>
      </c>
      <c r="G6" s="3">
        <f>4*600*12/Table2[[#This Row],[Mpg (combo)]]</f>
        <v>611.46496815286628</v>
      </c>
      <c r="H6" s="3">
        <v>1022</v>
      </c>
      <c r="I6" s="17">
        <v>659</v>
      </c>
      <c r="J6" s="17">
        <v>15065</v>
      </c>
      <c r="K6" s="17">
        <v>14615</v>
      </c>
      <c r="M6" s="17">
        <f>5336/5</f>
        <v>1067.2</v>
      </c>
      <c r="N6" s="18">
        <f>600/Table2[[#This Row],[Mpg (combo)]]*19.564*12</f>
        <v>2990.6751592356691</v>
      </c>
      <c r="O6" s="3">
        <f>Table2[[#This Row],[Lb CO2 / yr]]/2000*13</f>
        <v>19.439388535031849</v>
      </c>
      <c r="P6" s="3">
        <f>Table2[[#This Row],[Est Price]]+Table2[[#This Row],[Comprehensive/yr]]*5+Table2[[#This Row],[Gas $ / yr]]*5+Table2[[#This Row],[Cost to offset CO2 / yr]]*5+Table2[[#This Row],[Repairs / yr]]*5</f>
        <v>13600.52178343949</v>
      </c>
      <c r="Q6" s="3">
        <f>Table2[[#This Row],[Est Price]]+Table2[[#This Row],[Comprehensive/yr]]*10+Table2[[#This Row],[Cost to offset CO2 / yr]]*10+Table2[[#This Row],[Repairs / yr]]*10+Table2[[#This Row],[Gas $ / yr]]*10</f>
        <v>27201.043566878983</v>
      </c>
      <c r="R6">
        <v>14.4</v>
      </c>
      <c r="S6">
        <v>34.1</v>
      </c>
      <c r="T6" t="s">
        <v>74</v>
      </c>
      <c r="U6" t="s">
        <v>77</v>
      </c>
      <c r="V6" t="s">
        <v>59</v>
      </c>
      <c r="W6">
        <f>SUM(Table2[[#This Row],[Passenger]:[Rollover]])</f>
        <v>21</v>
      </c>
      <c r="X6">
        <f>SUM(Table2[[#This Row],[Front Offset]:[Rear Crash]])</f>
        <v>10</v>
      </c>
      <c r="Y6">
        <v>94</v>
      </c>
      <c r="Z6">
        <v>4</v>
      </c>
      <c r="AA6">
        <v>4</v>
      </c>
      <c r="AB6">
        <v>5</v>
      </c>
      <c r="AC6">
        <v>4</v>
      </c>
      <c r="AD6">
        <v>4</v>
      </c>
      <c r="AE6">
        <v>4</v>
      </c>
      <c r="AF6">
        <v>4</v>
      </c>
      <c r="AG6">
        <v>2</v>
      </c>
      <c r="AH6">
        <v>112</v>
      </c>
      <c r="AI6">
        <v>79</v>
      </c>
      <c r="AJ6">
        <v>96</v>
      </c>
      <c r="AK6">
        <v>85</v>
      </c>
      <c r="AL6">
        <v>90</v>
      </c>
      <c r="AM6">
        <v>86</v>
      </c>
    </row>
    <row r="7" spans="1:39" x14ac:dyDescent="0.25">
      <c r="A7" t="s">
        <v>112</v>
      </c>
      <c r="B7" t="s">
        <v>82</v>
      </c>
      <c r="C7">
        <v>2008</v>
      </c>
      <c r="D7">
        <v>48</v>
      </c>
      <c r="E7">
        <v>45</v>
      </c>
      <c r="F7">
        <f>Table2[[#This Row],[Mpg (city)]]*0.7+Table2[[#This Row],[Mpg (hwy)]]*0.3</f>
        <v>47.099999999999994</v>
      </c>
      <c r="G7" s="3">
        <f>4*600*12/Table2[[#This Row],[Mpg (combo)]]</f>
        <v>611.46496815286628</v>
      </c>
      <c r="H7" s="3">
        <v>1040</v>
      </c>
      <c r="I7" s="17">
        <v>659</v>
      </c>
      <c r="J7" s="17">
        <v>16875</v>
      </c>
      <c r="K7" s="17">
        <v>16425</v>
      </c>
      <c r="M7" s="17">
        <f>5336/5</f>
        <v>1067.2</v>
      </c>
      <c r="N7" s="18">
        <f>600/Table2[[#This Row],[Mpg (combo)]]*19.564*12</f>
        <v>2990.6751592356691</v>
      </c>
      <c r="O7" s="3">
        <f>Table2[[#This Row],[Lb CO2 / yr]]/2000*13</f>
        <v>19.439388535031849</v>
      </c>
      <c r="P7" s="3">
        <f>Table2[[#This Row],[Est Price]]+Table2[[#This Row],[Comprehensive/yr]]*5+Table2[[#This Row],[Gas $ / yr]]*5+Table2[[#This Row],[Cost to offset CO2 / yr]]*5+Table2[[#This Row],[Repairs / yr]]*5</f>
        <v>13690.52178343949</v>
      </c>
      <c r="Q7" s="3">
        <f>Table2[[#This Row],[Est Price]]+Table2[[#This Row],[Comprehensive/yr]]*10+Table2[[#This Row],[Cost to offset CO2 / yr]]*10+Table2[[#This Row],[Repairs / yr]]*10+Table2[[#This Row],[Gas $ / yr]]*10</f>
        <v>27381.043566878983</v>
      </c>
      <c r="R7">
        <v>14.4</v>
      </c>
      <c r="S7">
        <v>34.1</v>
      </c>
      <c r="T7" t="s">
        <v>74</v>
      </c>
      <c r="U7" t="s">
        <v>77</v>
      </c>
      <c r="V7" t="s">
        <v>59</v>
      </c>
      <c r="W7">
        <f>SUM(Table2[[#This Row],[Passenger]:[Rollover]])</f>
        <v>21</v>
      </c>
      <c r="X7">
        <f>SUM(Table2[[#This Row],[Front Offset]:[Rear Crash]])</f>
        <v>10</v>
      </c>
      <c r="Y7">
        <v>94</v>
      </c>
      <c r="Z7">
        <v>4</v>
      </c>
      <c r="AA7">
        <v>4</v>
      </c>
      <c r="AB7">
        <v>5</v>
      </c>
      <c r="AC7">
        <v>4</v>
      </c>
      <c r="AD7">
        <v>4</v>
      </c>
      <c r="AE7">
        <v>4</v>
      </c>
      <c r="AF7">
        <v>4</v>
      </c>
      <c r="AG7">
        <v>2</v>
      </c>
      <c r="AH7">
        <v>112</v>
      </c>
      <c r="AI7">
        <v>79</v>
      </c>
      <c r="AJ7">
        <v>96</v>
      </c>
      <c r="AK7">
        <v>85</v>
      </c>
      <c r="AL7">
        <v>90</v>
      </c>
      <c r="AM7">
        <v>86</v>
      </c>
    </row>
    <row r="8" spans="1:39" x14ac:dyDescent="0.25">
      <c r="A8" t="s">
        <v>113</v>
      </c>
      <c r="B8" t="s">
        <v>82</v>
      </c>
      <c r="C8">
        <v>2009</v>
      </c>
      <c r="D8">
        <v>48</v>
      </c>
      <c r="E8">
        <v>45</v>
      </c>
      <c r="F8">
        <f>Table2[[#This Row],[Mpg (city)]]*0.7+Table2[[#This Row],[Mpg (hwy)]]*0.3</f>
        <v>47.099999999999994</v>
      </c>
      <c r="G8" s="3">
        <f>4*600*12/Table2[[#This Row],[Mpg (combo)]]</f>
        <v>611.46496815286628</v>
      </c>
      <c r="H8" s="3">
        <v>1063</v>
      </c>
      <c r="I8" s="17">
        <v>659</v>
      </c>
      <c r="J8" s="17">
        <v>17595</v>
      </c>
      <c r="K8" s="17">
        <v>17145</v>
      </c>
      <c r="L8" s="17">
        <v>22000</v>
      </c>
      <c r="M8" s="17">
        <f>5336/5</f>
        <v>1067.2</v>
      </c>
      <c r="N8" s="18">
        <f>600/Table2[[#This Row],[Mpg (combo)]]*19.564*12</f>
        <v>2990.6751592356691</v>
      </c>
      <c r="O8" s="3">
        <f>Table2[[#This Row],[Lb CO2 / yr]]/2000*13</f>
        <v>19.439388535031849</v>
      </c>
      <c r="P8" s="3">
        <f>Table2[[#This Row],[Est Price]]+Table2[[#This Row],[Comprehensive/yr]]*5+Table2[[#This Row],[Gas $ / yr]]*5+Table2[[#This Row],[Cost to offset CO2 / yr]]*5+Table2[[#This Row],[Repairs / yr]]*5</f>
        <v>35805.521783439493</v>
      </c>
      <c r="Q8" s="3">
        <f>Table2[[#This Row],[Est Price]]+Table2[[#This Row],[Comprehensive/yr]]*10+Table2[[#This Row],[Cost to offset CO2 / yr]]*10+Table2[[#This Row],[Repairs / yr]]*10+Table2[[#This Row],[Gas $ / yr]]*10</f>
        <v>49611.043566878987</v>
      </c>
      <c r="R8">
        <v>14.4</v>
      </c>
      <c r="S8">
        <v>34.1</v>
      </c>
      <c r="T8" t="s">
        <v>74</v>
      </c>
      <c r="U8" t="s">
        <v>77</v>
      </c>
      <c r="V8" t="s">
        <v>59</v>
      </c>
      <c r="W8">
        <f>SUM(Table2[[#This Row],[Passenger]:[Rollover]])</f>
        <v>21</v>
      </c>
      <c r="X8">
        <f>SUM(Table2[[#This Row],[Front Offset]:[Rear Crash]])</f>
        <v>10</v>
      </c>
      <c r="Y8">
        <v>85</v>
      </c>
      <c r="Z8">
        <v>4</v>
      </c>
      <c r="AA8">
        <v>4</v>
      </c>
      <c r="AB8">
        <v>5</v>
      </c>
      <c r="AC8">
        <v>4</v>
      </c>
      <c r="AD8">
        <v>4</v>
      </c>
      <c r="AE8">
        <v>4</v>
      </c>
      <c r="AF8">
        <v>4</v>
      </c>
      <c r="AG8">
        <v>2</v>
      </c>
      <c r="AH8">
        <v>99</v>
      </c>
      <c r="AI8">
        <v>68</v>
      </c>
      <c r="AJ8">
        <v>109</v>
      </c>
      <c r="AK8">
        <v>70</v>
      </c>
      <c r="AL8">
        <v>83</v>
      </c>
      <c r="AM8">
        <v>74</v>
      </c>
    </row>
    <row r="9" spans="1:39" x14ac:dyDescent="0.25">
      <c r="A9" t="s">
        <v>114</v>
      </c>
      <c r="B9" t="s">
        <v>107</v>
      </c>
      <c r="C9">
        <v>2006</v>
      </c>
      <c r="F9" s="4">
        <f>Table2[[#This Row],[Mpg (city)]]*0.7+Table2[[#This Row],[Mpg (hwy)]]*0.3</f>
        <v>0</v>
      </c>
      <c r="G9" s="3" t="e">
        <f>4*600*12/Table2[[#This Row],[Mpg (combo)]]</f>
        <v>#DIV/0!</v>
      </c>
      <c r="H9" s="7"/>
      <c r="J9" s="20"/>
      <c r="K9" s="20"/>
      <c r="M9" s="20">
        <f>5573/5</f>
        <v>1114.5999999999999</v>
      </c>
      <c r="N9" s="19" t="e">
        <f>600/Table2[[#This Row],[Mpg (combo)]]*19.564*12</f>
        <v>#DIV/0!</v>
      </c>
      <c r="O9" s="3" t="e">
        <f>Table2[[#This Row],[Lb CO2 / yr]]/2000*13</f>
        <v>#DIV/0!</v>
      </c>
      <c r="P9" s="6" t="e">
        <f>Table2[[#This Row],[Est Price]]+Table2[[#This Row],[Comprehensive/yr]]*5+Table2[[#This Row],[Gas $ / yr]]*5+Table2[[#This Row],[Cost to offset CO2 / yr]]*5+Table2[[#This Row],[Repairs / yr]]*5</f>
        <v>#DIV/0!</v>
      </c>
      <c r="Q9" s="6" t="e">
        <f>Table2[[#This Row],[Est Price]]+Table2[[#This Row],[Comprehensive/yr]]*10+Table2[[#This Row],[Cost to offset CO2 / yr]]*10+Table2[[#This Row],[Repairs / yr]]*10+Table2[[#This Row],[Gas $ / yr]]*10</f>
        <v>#DIV/0!</v>
      </c>
      <c r="W9" s="4">
        <f>SUM(Table2[[#This Row],[Passenger]:[Rollover]])</f>
        <v>22</v>
      </c>
      <c r="X9" s="4">
        <f>SUM(Table2[[#This Row],[Front Offset]:[Rear Crash]])</f>
        <v>12</v>
      </c>
      <c r="Y9">
        <v>109</v>
      </c>
      <c r="Z9">
        <v>5</v>
      </c>
      <c r="AA9">
        <v>5</v>
      </c>
      <c r="AB9">
        <v>3</v>
      </c>
      <c r="AC9">
        <v>5</v>
      </c>
      <c r="AD9">
        <v>4</v>
      </c>
      <c r="AE9">
        <v>4</v>
      </c>
      <c r="AF9">
        <v>4</v>
      </c>
      <c r="AG9">
        <v>4</v>
      </c>
      <c r="AH9">
        <v>109</v>
      </c>
      <c r="AI9">
        <v>99</v>
      </c>
      <c r="AJ9">
        <v>74</v>
      </c>
      <c r="AK9">
        <v>125</v>
      </c>
      <c r="AL9">
        <v>124</v>
      </c>
      <c r="AM9">
        <v>102</v>
      </c>
    </row>
    <row r="10" spans="1:39" x14ac:dyDescent="0.25">
      <c r="A10" t="s">
        <v>115</v>
      </c>
      <c r="B10" t="s">
        <v>107</v>
      </c>
      <c r="C10">
        <v>2007</v>
      </c>
      <c r="F10" s="4">
        <f>Table2[[#This Row],[Mpg (city)]]*0.7+Table2[[#This Row],[Mpg (hwy)]]*0.3</f>
        <v>0</v>
      </c>
      <c r="G10" s="3" t="e">
        <f>4*600*12/Table2[[#This Row],[Mpg (combo)]]</f>
        <v>#DIV/0!</v>
      </c>
      <c r="H10" s="7"/>
      <c r="J10" s="20"/>
      <c r="K10" s="20"/>
      <c r="M10" s="20">
        <f>5573/5</f>
        <v>1114.5999999999999</v>
      </c>
      <c r="N10" s="19" t="e">
        <f>600/Table2[[#This Row],[Mpg (combo)]]*19.564*12</f>
        <v>#DIV/0!</v>
      </c>
      <c r="O10" s="3" t="e">
        <f>Table2[[#This Row],[Lb CO2 / yr]]/2000*13</f>
        <v>#DIV/0!</v>
      </c>
      <c r="P10" s="6" t="e">
        <f>Table2[[#This Row],[Est Price]]+Table2[[#This Row],[Comprehensive/yr]]*5+Table2[[#This Row],[Gas $ / yr]]*5+Table2[[#This Row],[Cost to offset CO2 / yr]]*5+Table2[[#This Row],[Repairs / yr]]*5</f>
        <v>#DIV/0!</v>
      </c>
      <c r="Q10" s="6" t="e">
        <f>Table2[[#This Row],[Est Price]]+Table2[[#This Row],[Comprehensive/yr]]*10+Table2[[#This Row],[Cost to offset CO2 / yr]]*10+Table2[[#This Row],[Repairs / yr]]*10+Table2[[#This Row],[Gas $ / yr]]*10</f>
        <v>#DIV/0!</v>
      </c>
      <c r="W10" s="4">
        <f>SUM(Table2[[#This Row],[Passenger]:[Rollover]])</f>
        <v>23</v>
      </c>
      <c r="X10" s="4">
        <f>SUM(Table2[[#This Row],[Front Offset]:[Rear Crash]])</f>
        <v>12</v>
      </c>
      <c r="Y10">
        <v>102</v>
      </c>
      <c r="Z10">
        <v>5</v>
      </c>
      <c r="AA10">
        <v>5</v>
      </c>
      <c r="AB10">
        <v>4</v>
      </c>
      <c r="AC10">
        <v>5</v>
      </c>
      <c r="AD10">
        <v>4</v>
      </c>
      <c r="AE10">
        <v>4</v>
      </c>
      <c r="AF10">
        <v>4</v>
      </c>
      <c r="AG10">
        <v>4</v>
      </c>
      <c r="AH10">
        <v>110</v>
      </c>
      <c r="AI10">
        <v>94</v>
      </c>
      <c r="AJ10">
        <v>79</v>
      </c>
      <c r="AK10">
        <v>93</v>
      </c>
      <c r="AL10">
        <v>95</v>
      </c>
      <c r="AM10">
        <v>84</v>
      </c>
    </row>
    <row r="11" spans="1:39" x14ac:dyDescent="0.25">
      <c r="A11" t="s">
        <v>116</v>
      </c>
      <c r="B11" t="s">
        <v>107</v>
      </c>
      <c r="C11">
        <v>2008</v>
      </c>
      <c r="F11" s="4">
        <f>Table2[[#This Row],[Mpg (city)]]*0.7+Table2[[#This Row],[Mpg (hwy)]]*0.3</f>
        <v>0</v>
      </c>
      <c r="G11" s="3" t="e">
        <f>4*600*12/Table2[[#This Row],[Mpg (combo)]]</f>
        <v>#DIV/0!</v>
      </c>
      <c r="H11" s="7"/>
      <c r="J11" s="20"/>
      <c r="K11" s="20"/>
      <c r="M11" s="20">
        <f>5573/5</f>
        <v>1114.5999999999999</v>
      </c>
      <c r="N11" s="19" t="e">
        <f>600/Table2[[#This Row],[Mpg (combo)]]*19.564*12</f>
        <v>#DIV/0!</v>
      </c>
      <c r="O11" s="3" t="e">
        <f>Table2[[#This Row],[Lb CO2 / yr]]/2000*13</f>
        <v>#DIV/0!</v>
      </c>
      <c r="P11" s="6" t="e">
        <f>Table2[[#This Row],[Est Price]]+Table2[[#This Row],[Comprehensive/yr]]*5+Table2[[#This Row],[Gas $ / yr]]*5+Table2[[#This Row],[Cost to offset CO2 / yr]]*5+Table2[[#This Row],[Repairs / yr]]*5</f>
        <v>#DIV/0!</v>
      </c>
      <c r="Q11" s="6" t="e">
        <f>Table2[[#This Row],[Est Price]]+Table2[[#This Row],[Comprehensive/yr]]*10+Table2[[#This Row],[Cost to offset CO2 / yr]]*10+Table2[[#This Row],[Repairs / yr]]*10+Table2[[#This Row],[Gas $ / yr]]*10</f>
        <v>#DIV/0!</v>
      </c>
      <c r="W11" s="4">
        <f>SUM(Table2[[#This Row],[Passenger]:[Rollover]])</f>
        <v>23</v>
      </c>
      <c r="X11" s="4">
        <f>SUM(Table2[[#This Row],[Front Offset]:[Rear Crash]])</f>
        <v>12</v>
      </c>
      <c r="Y11">
        <v>102</v>
      </c>
      <c r="Z11">
        <v>5</v>
      </c>
      <c r="AA11">
        <v>5</v>
      </c>
      <c r="AB11">
        <v>4</v>
      </c>
      <c r="AC11">
        <v>5</v>
      </c>
      <c r="AD11">
        <v>4</v>
      </c>
      <c r="AE11">
        <v>4</v>
      </c>
      <c r="AF11">
        <v>4</v>
      </c>
      <c r="AG11">
        <v>4</v>
      </c>
      <c r="AH11">
        <v>110</v>
      </c>
      <c r="AI11">
        <v>94</v>
      </c>
      <c r="AJ11">
        <v>79</v>
      </c>
      <c r="AK11">
        <v>93</v>
      </c>
      <c r="AL11">
        <v>95</v>
      </c>
      <c r="AM11">
        <v>84</v>
      </c>
    </row>
    <row r="12" spans="1:39" x14ac:dyDescent="0.25">
      <c r="A12" t="s">
        <v>117</v>
      </c>
      <c r="B12" s="23" t="s">
        <v>107</v>
      </c>
      <c r="C12">
        <v>2009</v>
      </c>
      <c r="F12" s="4">
        <f>Table2[[#This Row],[Mpg (city)]]*0.7+Table2[[#This Row],[Mpg (hwy)]]*0.3</f>
        <v>0</v>
      </c>
      <c r="G12" s="3" t="e">
        <f>4*600*12/Table2[[#This Row],[Mpg (combo)]]</f>
        <v>#DIV/0!</v>
      </c>
      <c r="L12" s="21"/>
      <c r="M12" s="17">
        <f t="shared" ref="M12:M13" si="1">5573/5</f>
        <v>1114.5999999999999</v>
      </c>
      <c r="N12" s="19">
        <f>P8-P5</f>
        <v>9280</v>
      </c>
      <c r="O12" s="3">
        <f>Table2[[#This Row],[Lb CO2 / yr]]/2000*13</f>
        <v>60.319999999999993</v>
      </c>
      <c r="P12" s="5" t="e">
        <f>Table2[[#This Row],[Est Price]]+Table2[[#This Row],[Comprehensive/yr]]*5+Table2[[#This Row],[Gas $ / yr]]*5+Table2[[#This Row],[Cost to offset CO2 / yr]]*5+Table2[[#This Row],[Repairs / yr]]*5</f>
        <v>#DIV/0!</v>
      </c>
      <c r="Q12" s="5" t="e">
        <f>Table2[[#This Row],[Est Price]]+Table2[[#This Row],[Comprehensive/yr]]*10+Table2[[#This Row],[Cost to offset CO2 / yr]]*10+Table2[[#This Row],[Repairs / yr]]*10+Table2[[#This Row],[Gas $ / yr]]*10</f>
        <v>#DIV/0!</v>
      </c>
      <c r="W12" s="4">
        <f>SUM(Table2[[#This Row],[Passenger]:[Rollover]])</f>
        <v>23</v>
      </c>
      <c r="X12" s="4">
        <f>SUM(Table2[[#This Row],[Front Offset]:[Rear Crash]])</f>
        <v>12</v>
      </c>
      <c r="Y12">
        <v>100</v>
      </c>
      <c r="Z12">
        <v>5</v>
      </c>
      <c r="AA12">
        <v>5</v>
      </c>
      <c r="AB12">
        <v>4</v>
      </c>
      <c r="AC12">
        <v>5</v>
      </c>
      <c r="AD12">
        <v>4</v>
      </c>
      <c r="AE12">
        <v>4</v>
      </c>
      <c r="AF12">
        <v>4</v>
      </c>
      <c r="AG12">
        <v>4</v>
      </c>
      <c r="AH12">
        <v>110</v>
      </c>
      <c r="AI12">
        <v>94</v>
      </c>
      <c r="AJ12">
        <v>79</v>
      </c>
      <c r="AK12">
        <v>93</v>
      </c>
      <c r="AL12">
        <v>95</v>
      </c>
      <c r="AM12">
        <v>84</v>
      </c>
    </row>
    <row r="13" spans="1:39" x14ac:dyDescent="0.25">
      <c r="A13" t="s">
        <v>118</v>
      </c>
      <c r="B13" s="23" t="s">
        <v>107</v>
      </c>
      <c r="C13">
        <v>2010</v>
      </c>
      <c r="F13" s="4">
        <f>Table2[[#This Row],[Mpg (city)]]*0.7+Table2[[#This Row],[Mpg (hwy)]]*0.3</f>
        <v>0</v>
      </c>
      <c r="G13" s="3" t="e">
        <f>4*600*12/Table2[[#This Row],[Mpg (combo)]]</f>
        <v>#DIV/0!</v>
      </c>
      <c r="L13" s="21"/>
      <c r="M13" s="17">
        <f t="shared" si="1"/>
        <v>1114.5999999999999</v>
      </c>
      <c r="N13" s="19">
        <f>N12/40</f>
        <v>232</v>
      </c>
      <c r="O13" s="3">
        <f>Table2[[#This Row],[Lb CO2 / yr]]/2000*13</f>
        <v>1.508</v>
      </c>
      <c r="P13" s="5" t="e">
        <f>Table2[[#This Row],[Est Price]]+Table2[[#This Row],[Comprehensive/yr]]*5+Table2[[#This Row],[Gas $ / yr]]*5+Table2[[#This Row],[Cost to offset CO2 / yr]]*5+Table2[[#This Row],[Repairs / yr]]*5</f>
        <v>#DIV/0!</v>
      </c>
      <c r="Q13" s="5" t="e">
        <f>Table2[[#This Row],[Est Price]]+Table2[[#This Row],[Comprehensive/yr]]*10+Table2[[#This Row],[Cost to offset CO2 / yr]]*10+Table2[[#This Row],[Repairs / yr]]*10+Table2[[#This Row],[Gas $ / yr]]*10</f>
        <v>#DIV/0!</v>
      </c>
      <c r="W13" s="4">
        <f>SUM(Table2[[#This Row],[Passenger]:[Rollover]])</f>
        <v>23</v>
      </c>
      <c r="X13" s="4">
        <f>SUM(Table2[[#This Row],[Front Offset]:[Rear Crash]])</f>
        <v>12</v>
      </c>
      <c r="Y13">
        <v>100</v>
      </c>
      <c r="Z13">
        <v>5</v>
      </c>
      <c r="AA13">
        <v>5</v>
      </c>
      <c r="AB13">
        <v>4</v>
      </c>
      <c r="AC13">
        <v>5</v>
      </c>
      <c r="AD13">
        <v>4</v>
      </c>
      <c r="AE13">
        <v>4</v>
      </c>
      <c r="AF13">
        <v>4</v>
      </c>
      <c r="AG13">
        <v>4</v>
      </c>
      <c r="AH13">
        <v>105</v>
      </c>
      <c r="AI13">
        <v>93</v>
      </c>
      <c r="AJ13">
        <v>76</v>
      </c>
      <c r="AK13">
        <v>125</v>
      </c>
      <c r="AL13">
        <v>127</v>
      </c>
      <c r="AM13">
        <v>101</v>
      </c>
    </row>
    <row r="14" spans="1:39" x14ac:dyDescent="0.25">
      <c r="L14" s="21"/>
    </row>
    <row r="15" spans="1:39" x14ac:dyDescent="0.25">
      <c r="L15" s="21"/>
      <c r="N15" s="18">
        <f>5000/40</f>
        <v>125</v>
      </c>
    </row>
    <row r="16" spans="1:39" x14ac:dyDescent="0.25">
      <c r="L16" s="21"/>
      <c r="N16" s="18">
        <f>15000/40</f>
        <v>375</v>
      </c>
    </row>
    <row r="17" spans="12:12" x14ac:dyDescent="0.25">
      <c r="L17" s="22"/>
    </row>
  </sheetData>
  <conditionalFormatting sqref="G1:G1048576">
    <cfRule type="colorScale" priority="54">
      <colorScale>
        <cfvo type="min"/>
        <cfvo type="max"/>
        <color rgb="FF63BE7B"/>
        <color rgb="FFFCFCFF"/>
      </colorScale>
    </cfRule>
  </conditionalFormatting>
  <conditionalFormatting sqref="AH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:P104857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:Y10485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{AB58F73E-D8A5-48C8-A023-DBAB204CD117}</x14:id>
        </ext>
      </extLst>
    </cfRule>
  </conditionalFormatting>
  <conditionalFormatting sqref="X1:X104857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{EC687C59-4ABC-4211-A4BF-8FB661BDCA6E}</x14:id>
        </ext>
      </extLst>
    </cfRule>
  </conditionalFormatting>
  <conditionalFormatting sqref="W1:W104857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{03C83C00-8252-427C-89F6-D184A0A42FA9}</x14:id>
        </ext>
      </extLst>
    </cfRule>
  </conditionalFormatting>
  <pageMargins left="0.7" right="0.7" top="0.75" bottom="0.75" header="0.3" footer="0.3"/>
  <pageSetup orientation="portrait" horizontalDpi="200" verticalDpi="200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58F73E-D8A5-48C8-A023-DBAB204CD1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Y1:Y1048576</xm:sqref>
        </x14:conditionalFormatting>
        <x14:conditionalFormatting xmlns:xm="http://schemas.microsoft.com/office/excel/2006/main">
          <x14:cfRule type="dataBar" id="{EC687C59-4ABC-4211-A4BF-8FB661BDCA6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X1:X1048576</xm:sqref>
        </x14:conditionalFormatting>
        <x14:conditionalFormatting xmlns:xm="http://schemas.microsoft.com/office/excel/2006/main">
          <x14:cfRule type="dataBar" id="{03C83C00-8252-427C-89F6-D184A0A42FA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W1:W1048576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</vt:lpstr>
      <vt:lpstr>Per 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 Nambi</dc:creator>
  <cp:lastModifiedBy>Dev Nambi</cp:lastModifiedBy>
  <dcterms:created xsi:type="dcterms:W3CDTF">2011-02-15T16:04:36Z</dcterms:created>
  <dcterms:modified xsi:type="dcterms:W3CDTF">2012-02-12T06:28:02Z</dcterms:modified>
</cp:coreProperties>
</file>